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autoCompressPictures="0"/>
  <mc:AlternateContent xmlns:mc="http://schemas.openxmlformats.org/markup-compatibility/2006">
    <mc:Choice Requires="x15">
      <x15ac:absPath xmlns:x15ac="http://schemas.microsoft.com/office/spreadsheetml/2010/11/ac" url="D:\IBM\My IBM FTSS\TOOLS\! SNEFF !\Development\"/>
    </mc:Choice>
  </mc:AlternateContent>
  <xr:revisionPtr revIDLastSave="0" documentId="13_ncr:1_{89AD7788-3E80-42D4-AE3C-76D96EDBA98E}" xr6:coauthVersionLast="47" xr6:coauthVersionMax="47" xr10:uidLastSave="{00000000-0000-0000-0000-000000000000}"/>
  <workbookProtection workbookAlgorithmName="SHA-512" workbookHashValue="4CPENCY9+DAa7v9rCV0fNhaP7cAArK/IPQ3PCRK0Q3L9robmqxodZr4pMs1Th7f1BRqXNm6SrWj5C7B6Inwh8g==" workbookSaltValue="UvTVsZmLtMvX7pbcY0P4+g==" workbookSpinCount="100000" lockStructure="1"/>
  <bookViews>
    <workbookView xWindow="-103" yWindow="-103" windowWidth="33120" windowHeight="18000" tabRatio="715" xr2:uid="{00000000-000D-0000-FFFF-FFFF00000000}"/>
  </bookViews>
  <sheets>
    <sheet name="Usage" sheetId="4" r:id="rId1"/>
    <sheet name="TS4500" sheetId="7" r:id="rId2"/>
    <sheet name="TS3500" sheetId="1" r:id="rId3"/>
    <sheet name="TS3100 3200 3310 3400 4300" sheetId="5" r:id="rId4"/>
    <sheet name="Cartridges" sheetId="6" r:id="rId5"/>
    <sheet name="Table" sheetId="2" state="hidden" r:id="rId6"/>
    <sheet name="Names" sheetId="3" state="hidden" r:id="rId7"/>
    <sheet name="Table4500" sheetId="8" state="hidden" r:id="rId8"/>
    <sheet name="Names4500" sheetId="9" state="hidden" r:id="rId9"/>
  </sheets>
  <definedNames>
    <definedName name="_01">Names!$C$215:$C$230</definedName>
    <definedName name="_NUM1">Names!$J$3</definedName>
    <definedName name="_NUM2">Names!$J$4</definedName>
    <definedName name="_NUM3">Names!$J$5</definedName>
    <definedName name="_NUM4">Names!$J$6</definedName>
    <definedName name="DandAllHDframes">Names!$C$54:$C$63</definedName>
    <definedName name="DandAllHDframes4500">Names4500!$C$464:$C$471</definedName>
    <definedName name="DandAllSframes4500">Names4500!$C$464:$C$471</definedName>
    <definedName name="DandS24frames">Names!$C$34:$C$42</definedName>
    <definedName name="DandS25frames">Names4500!$C$30:$C$35</definedName>
    <definedName name="DandS25frames4500">Names4500!$C$30:$C$35</definedName>
    <definedName name="DandS54frames">Names!$C$44:$C$52</definedName>
    <definedName name="DandS55frames">Names4500!$C$37:$C$42</definedName>
    <definedName name="DandS55frames4500">Names4500!$C$37:$C$42</definedName>
    <definedName name="Dr4500Num02to">Names4500!$C$248</definedName>
    <definedName name="Dr4500Num02to01">'TS4500'!$F$9</definedName>
    <definedName name="Dr4500Num02to02">'TS4500'!$J$9</definedName>
    <definedName name="Dr4500Num02to03">'TS4500'!$J$9:$K$9</definedName>
    <definedName name="Dr4500Num02to04">'TS4500'!$J$9:$L$9</definedName>
    <definedName name="Dr4500Num02to05">'TS4500'!$J$9:$M$9</definedName>
    <definedName name="Dr4500Num02to06">'TS4500'!$J$9:$N$9</definedName>
    <definedName name="Dr4500Num02to07">'TS4500'!$J$9:$O$9</definedName>
    <definedName name="Dr4500Num02to08">'TS4500'!$J$9:$P$9</definedName>
    <definedName name="Dr4500Num02to09">'TS4500'!$J$9:$Q$9</definedName>
    <definedName name="Dr4500Num02to10">'TS4500'!$J$9:$R$9</definedName>
    <definedName name="Dr4500Num02to11">'TS4500'!$J$9:$S$9</definedName>
    <definedName name="Dr4500Num02to12">'TS4500'!$J$9:$T$9</definedName>
    <definedName name="Dr4500Num02to13">'TS4500'!$J$9:$U$9</definedName>
    <definedName name="Dr4500Num02to14">'TS4500'!$J$9:$V$9</definedName>
    <definedName name="Dr4500Num02to15">'TS4500'!$J$9:$W$9</definedName>
    <definedName name="Dr4500Num02to16">'TS4500'!$J$9:$X$9</definedName>
    <definedName name="Dr4500Num02to17">'TS4500'!$J$9:$Y$9</definedName>
    <definedName name="Dr4500Num02to18">'TS4500'!$J$9:$Z$9</definedName>
    <definedName name="DrNum02to">Names!$C$234</definedName>
    <definedName name="DrNum02to01">'TS3500'!$F$9</definedName>
    <definedName name="DrNum02to02">'TS3500'!$J$9</definedName>
    <definedName name="DrNum02to03">'TS3500'!$J$9:$K$9</definedName>
    <definedName name="DrNum02to04">'TS3500'!$J$9:$L$9</definedName>
    <definedName name="DrNum02to05">'TS3500'!$J$9:$M$9</definedName>
    <definedName name="DrNum02to06">'TS3500'!$J$9:$N$9</definedName>
    <definedName name="DrNum02to07">'TS3500'!$J$9:$O$9</definedName>
    <definedName name="DrNum02to08">'TS3500'!$J$9:$P$9</definedName>
    <definedName name="DrNum02to09">'TS3500'!$J$9:$Q$9</definedName>
    <definedName name="DrNum02to10">'TS3500'!$J$9:$R$9</definedName>
    <definedName name="DrNum02to11">'TS3500'!$J$9:$S$9</definedName>
    <definedName name="DrNum02to12">'TS3500'!$J$9:$T$9</definedName>
    <definedName name="DrNum02to13">'TS3500'!$J$9:$U$9</definedName>
    <definedName name="DrNum02to14">'TS3500'!$J$9:$V$9</definedName>
    <definedName name="DrNum02to15">'TS3500'!$J$9:$W$9</definedName>
    <definedName name="DrNum02to16">'TS3500'!$J$9:$X$9</definedName>
    <definedName name="F4500Type02to">Names4500!$C$246</definedName>
    <definedName name="F4500Type02to01">'TS4500'!$F$7</definedName>
    <definedName name="F4500Type02to02">'TS4500'!$J$7</definedName>
    <definedName name="F4500Type02to03">'TS4500'!$J$7:$K$7</definedName>
    <definedName name="F4500Type02to04">'TS4500'!$J$7:$L$7</definedName>
    <definedName name="F4500Type02to05">'TS4500'!$J$7:$M$7</definedName>
    <definedName name="F4500Type02to06">'TS4500'!$J$7:$N$7</definedName>
    <definedName name="F4500Type02to07">'TS4500'!$J$7:$O$7</definedName>
    <definedName name="F4500Type02to08">'TS4500'!$J$7:$P$7</definedName>
    <definedName name="F4500Type02to09">'TS4500'!$J$7:$Q$7</definedName>
    <definedName name="F4500Type02to10">'TS4500'!$J$7:$R$7</definedName>
    <definedName name="F4500Type02to11">'TS4500'!$J$7:$S$7</definedName>
    <definedName name="F4500Type02to12">'TS4500'!$F$7:$T$7</definedName>
    <definedName name="F4500Type02to13">'TS4500'!$J$7:$U$7</definedName>
    <definedName name="F4500Type02to14">'TS4500'!$J$7:$V$7</definedName>
    <definedName name="F4500Type02to15">'TS4500'!$J$7:$W$7</definedName>
    <definedName name="F4500Type02to16">'TS4500'!$J$7:$X$7</definedName>
    <definedName name="F4500Type02to17">'TS4500'!$J$7:$Y$7</definedName>
    <definedName name="F4500Type02to18">'TS4500'!$J$7:$Z$7</definedName>
    <definedName name="FirstFrameHAhasIO">Names4500!$C$582</definedName>
    <definedName name="FirstFrameLandHA">Names4500!$C$559</definedName>
    <definedName name="FType02to">Names!$C$232</definedName>
    <definedName name="FType02to01">'TS3500'!$F$7</definedName>
    <definedName name="FType02to02">'TS3500'!$J$7</definedName>
    <definedName name="FType02to03">'TS3500'!$J$7:$K$7</definedName>
    <definedName name="FType02to04">'TS3500'!$J$7:$L$7</definedName>
    <definedName name="FType02to05">'TS3500'!$J$7:$M$7</definedName>
    <definedName name="FType02to06">'TS3500'!$J$7:$N$7</definedName>
    <definedName name="FType02to07">'TS3500'!$J$7:$O$7</definedName>
    <definedName name="FType02to08">'TS3500'!$J$7:$P$7</definedName>
    <definedName name="FType02to09">'TS3500'!$J$7:$Q$7</definedName>
    <definedName name="FType02to10">'TS3500'!$J$7:$R$7</definedName>
    <definedName name="FType02to11">'TS3500'!$J$7:$S$7</definedName>
    <definedName name="FType02to12">'TS3500'!$J$7:$T$7</definedName>
    <definedName name="FType02to13">'TS3500'!$J$7:$U$7</definedName>
    <definedName name="FType02to14">'TS3500'!$J$7:$V$7</definedName>
    <definedName name="FType02to15">'TS3500'!$J$7:$W$7</definedName>
    <definedName name="FType02to16">'TS3500'!$J$7:$X$7</definedName>
    <definedName name="HDlibraryLMcode">Names!$C$135:$C$136</definedName>
    <definedName name="indirectCODTS3310">Names!$J$13</definedName>
    <definedName name="indirectCODTS4300">Names!$J$312</definedName>
    <definedName name="indirectDSframeArray">Names!$C$10:$C$24</definedName>
    <definedName name="indirectDSframeArray4500">Names4500!$C$313:$C$330</definedName>
    <definedName name="indirectDSframesList">Names!$C$236:$C$239</definedName>
    <definedName name="indirectDSframesList4500">Names4500!$C$250:$C$253</definedName>
    <definedName name="indirectio">Names!$C$96</definedName>
    <definedName name="indirectio4500">Names4500!$C$85</definedName>
    <definedName name="indirectio4500Frames">Names4500!$C$339:$C$356</definedName>
    <definedName name="indirectioDframeArray">Names!$C$139:$C$153</definedName>
    <definedName name="indirectioDframeArray4500">Names4500!$C$398:$C$415</definedName>
    <definedName name="indirectIOTS3310">Names!$J$11</definedName>
    <definedName name="indirectIOTS4300">Names!$J$314:$J$315</definedName>
    <definedName name="indirectNmDrArray">Names!$C$161:$C$175</definedName>
    <definedName name="indirectNmDrArray4500">Names4500!$C$425:$C$442</definedName>
    <definedName name="indirectod">Names!$C$65</definedName>
    <definedName name="indirectod4500">Names4500!$C$52</definedName>
    <definedName name="indirectod4500Frames">Names4500!$C$367:$C$384</definedName>
    <definedName name="IOslotsBASEONLY">Names!$J$9</definedName>
    <definedName name="IOslotsBASEwEXP">Names!$J$8:$J$9</definedName>
    <definedName name="IOslotsEXP">Names!$J$15:$J$16</definedName>
    <definedName name="IOStation">Table!$C$65:$C$67</definedName>
    <definedName name="LandDandAllHDframes4500">Names4500!$C$300:$C$311</definedName>
    <definedName name="LandDandAllHDframes4500select">Names4500!$C$511:$C$516</definedName>
    <definedName name="LandDandAllSframes4500">Names4500!$C$300:$C$311</definedName>
    <definedName name="LandDandAllSframes4500select">Names4500!$C$511:$C$516</definedName>
    <definedName name="LibraryLMcode4500">Names4500!$C$122:$C$123</definedName>
    <definedName name="LTODframes">Names!$C$26:$C$32</definedName>
    <definedName name="LTODframes4500">Names4500!$C$25:$C$28</definedName>
    <definedName name="LTOLframes">Names!$C$2:$C$8</definedName>
    <definedName name="LTOLFrames4500">Names4500!$C$2:$C$5</definedName>
    <definedName name="Lx5frameIO">Names4500!$C$462</definedName>
    <definedName name="more2LFrames">Names4500!$C$473:$C$490</definedName>
    <definedName name="morexDFrames">Names4500!$C$492:$C$509</definedName>
    <definedName name="noDrive4500">Names4500!$C$537:$C$554</definedName>
    <definedName name="noLFrame">Names4500!$C$518:$C$535</definedName>
    <definedName name="NUM0">Names!$J$2</definedName>
    <definedName name="NUM0OR3">Names!$J$18:$J$19</definedName>
    <definedName name="NUM0TO0">Names!$J$2</definedName>
    <definedName name="NUM0TO1">Names!$J$2:$J$3</definedName>
    <definedName name="NUM0TO2">Names!$J$2:$J$4</definedName>
    <definedName name="NUM0TO3">Names!$J$2:$J$5</definedName>
    <definedName name="NUM0TO4">Names!$J$2:$J$6</definedName>
    <definedName name="NUM0TO6">Names!$J$295:$J$310</definedName>
    <definedName name="NUM1TO2">Names!$J$3:$J$4</definedName>
    <definedName name="NUM1TO3">Names!$J$3:$J$5</definedName>
    <definedName name="NumberDrives">Names!$C$178:$C$190</definedName>
    <definedName name="NumberDrives0">Names!$C$177</definedName>
    <definedName name="NumberDrives04500">Names4500!$C$168</definedName>
    <definedName name="NumberDrivesD4500">Names4500!$C$184:$C$200</definedName>
    <definedName name="NumberDrivesL4500">Names4500!$C$169:$C$181</definedName>
    <definedName name="NumberDrivesLHA4500">Names4500!$C$605:$C$609</definedName>
    <definedName name="NumberDrivesSVBA4500">Names4500!$C$584:$C$588</definedName>
    <definedName name="NumberDrivesSVBB4500">Names4500!$C$590:$C$598</definedName>
    <definedName name="NumberFrames">Names!$C$192:$C$207</definedName>
    <definedName name="NumberFrames4500">Names4500!$C$202:$C$219</definedName>
    <definedName name="NumberFrames4500limited">Names4500!$C$332:$C$335</definedName>
    <definedName name="NUMDR3310">Names!$J$21:$J$23</definedName>
    <definedName name="NUMDR3320">Names!$J$25:$J$32</definedName>
    <definedName name="NumFram4500">Names4500!$C$337</definedName>
    <definedName name="NumToChar">Names!$C$215:$C$230</definedName>
    <definedName name="NumToChar4500">Names4500!$C$227:$C$244</definedName>
    <definedName name="OnDemand">Table!$C$24:$C$60</definedName>
    <definedName name="Sx4frameOD">Names!$C$158:$C$159</definedName>
    <definedName name="Sx5frameNOIO">Names4500!$C$417</definedName>
    <definedName name="Sx5frameOD">Names4500!$C$147:$C$148</definedName>
    <definedName name="TotalCapacityComp">Names!$C$209:$C$213</definedName>
    <definedName name="TS4500FrameTypeAtPosition">Names4500!$C$563:$C$580</definedName>
    <definedName name="TS4500HA">Names4500!$C$556:$C$557</definedName>
    <definedName name="TS4500HAChoice">Names4500!$C$600:$C$602</definedName>
    <definedName name="TS4500LibraryLMcode">Names4500!$C$274:$C$275</definedName>
    <definedName name="TSD25BaseIO">Names4500!$C$451:$C$452</definedName>
    <definedName name="TSD25HDIO">Names4500!$C$363:$C$364</definedName>
    <definedName name="TSD25HDIOMixed">Names4500!$C$365</definedName>
    <definedName name="TSD25ODM">Names4500!$C$389:$C$390</definedName>
    <definedName name="TSD55BaseIO">Names4500!$C$448:$C$449</definedName>
    <definedName name="TSD55HDIO">Names4500!$C$358:$C$359</definedName>
    <definedName name="TSD55HDIOMixed">Names4500!$C$361</definedName>
    <definedName name="TSD55ODM">Names4500!$C$386:$C$387</definedName>
    <definedName name="TSDframeIOStation">Names!$C$155:$C$156</definedName>
    <definedName name="TSDframeIOStation4500">Names4500!$C$144:$C$145</definedName>
    <definedName name="TSDframeNOIO">Names!$C$156</definedName>
    <definedName name="TSDframeNOIO4500">Names4500!$C$145</definedName>
    <definedName name="TSL22EntryIO">Names!$C$122</definedName>
    <definedName name="TSL22FullIO">Names!$C$126:$C$127</definedName>
    <definedName name="TSL22FullIOMixed">Names!$C$128</definedName>
    <definedName name="TSL22IntermediateIO">Names!$C$124</definedName>
    <definedName name="TSL22ODM">Names!$C$89</definedName>
    <definedName name="TSL22ODS">Names!$C$85:$C$87</definedName>
    <definedName name="TSL23EntryIO">Names!$C$114</definedName>
    <definedName name="TSL23FullIO">Names!$C$118:$C$119</definedName>
    <definedName name="TSL23FullIOMixed">Names!$C$120</definedName>
    <definedName name="TSL23IntermediateIO">Names!$C$116</definedName>
    <definedName name="TSL23ODM">Names!$C$83</definedName>
    <definedName name="TSL23ODS">Names!$C$79:$C$81</definedName>
    <definedName name="TSL25BaseIO">Names4500!$C$446:$C$446</definedName>
    <definedName name="TSL25EntryIO">Names4500!$C$102</definedName>
    <definedName name="TSL25HDIO">Names4500!$C$106</definedName>
    <definedName name="TSL25HDIOMixed">Names4500!$C$107</definedName>
    <definedName name="TSL25IntermediateIO">Names4500!$C$104</definedName>
    <definedName name="TSL25ODM">Names4500!$C$395:$C$396</definedName>
    <definedName name="TSL25ODS">Names4500!$C$67:$C$70</definedName>
    <definedName name="TSL32Capacity_ExpansionIO">Names!$C$131:$C$132</definedName>
    <definedName name="TSL32Capacity_ExpansionIOMixed">Names!$C$133</definedName>
    <definedName name="TSL32NO_Capacity_ExpansionIO">Names!$C$130</definedName>
    <definedName name="TSL32ODM">Names!$C$94</definedName>
    <definedName name="TSL32ODS">Names!$C$91:$C$92</definedName>
    <definedName name="TSL52EntryIO">Names!$C$106</definedName>
    <definedName name="TSL52FullIO">Names!$C$110:$C$111</definedName>
    <definedName name="TSL52FullIOMixed">Names!$C$112</definedName>
    <definedName name="TSL52IntermediateIO">Names!$C$108</definedName>
    <definedName name="TSL52ODM">Names!$C$77</definedName>
    <definedName name="TSL52ODS">Names!$C$73:$C$75</definedName>
    <definedName name="TSL53EntryIO">Names!$C$98</definedName>
    <definedName name="TSL53FullIO">Names!$C$102:$C$103</definedName>
    <definedName name="TSL53FullIOMixed">Names!$C$104</definedName>
    <definedName name="TSL53IntermediateIO">Names!$C$100</definedName>
    <definedName name="TSL53ODM">Names!$C$71</definedName>
    <definedName name="TSL53ODS">Names!$C$67:$C$69</definedName>
    <definedName name="TSL55BaseIO">Names4500!$C$444:$C$444</definedName>
    <definedName name="TSL55EntryIO">Names4500!$C$87</definedName>
    <definedName name="TSL55HDIO">Names4500!$C$91</definedName>
    <definedName name="TSL55HDIOMixed">Names4500!$C$92</definedName>
    <definedName name="TSL55IntermediateIO">Names4500!$C$89</definedName>
    <definedName name="TSL55ODM">Names4500!$C$392:$C$393</definedName>
    <definedName name="TSL55ODS">Names4500!$C$54:$C$57</definedName>
    <definedName name="TSS25BaseIO">Names4500!$C$456:$C$456</definedName>
    <definedName name="TSS25HDIO">Names4500!$C$460:$C$460</definedName>
    <definedName name="TSS25ODM">Names4500!$C$422:$C$423</definedName>
    <definedName name="TSS55BaseIO">Names4500!$C$454:$C$454</definedName>
    <definedName name="TSS55HDIO">Names4500!$C$458:$C$458</definedName>
    <definedName name="TSS55ODM">Names4500!$C$419:$C$420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6" i="7" l="1"/>
  <c r="K16" i="7"/>
  <c r="J16" i="7"/>
  <c r="U37" i="8"/>
  <c r="S17" i="7"/>
  <c r="M317" i="3"/>
  <c r="A200" i="5"/>
  <c r="G49" i="5"/>
  <c r="G51" i="5"/>
  <c r="F49" i="5"/>
  <c r="F51" i="5"/>
  <c r="F47" i="5"/>
  <c r="F45" i="5"/>
  <c r="F43" i="5"/>
  <c r="F41" i="5"/>
  <c r="H49" i="5"/>
  <c r="I49" i="5"/>
  <c r="H51" i="5"/>
  <c r="I51" i="5"/>
  <c r="G53" i="5"/>
  <c r="H53" i="5"/>
  <c r="I53" i="5"/>
  <c r="G41" i="5"/>
  <c r="H41" i="5"/>
  <c r="I41" i="5"/>
  <c r="G43" i="5"/>
  <c r="H43" i="5"/>
  <c r="I43" i="5"/>
  <c r="G45" i="5"/>
  <c r="H45" i="5"/>
  <c r="I45" i="5"/>
  <c r="G47" i="5"/>
  <c r="H47" i="5"/>
  <c r="I47" i="5"/>
  <c r="G72" i="5"/>
  <c r="H72" i="5"/>
  <c r="I72" i="5"/>
  <c r="F72" i="5"/>
  <c r="G70" i="5"/>
  <c r="H70" i="5"/>
  <c r="I70" i="5"/>
  <c r="F70" i="5"/>
  <c r="G68" i="5"/>
  <c r="H68" i="5"/>
  <c r="I68" i="5"/>
  <c r="F68" i="5"/>
  <c r="G66" i="5"/>
  <c r="H66" i="5"/>
  <c r="I66" i="5"/>
  <c r="F66" i="5"/>
  <c r="G64" i="5"/>
  <c r="H64" i="5"/>
  <c r="I64" i="5"/>
  <c r="F64" i="5"/>
  <c r="G55" i="5"/>
  <c r="F53" i="5"/>
  <c r="H55" i="5"/>
  <c r="I55" i="5"/>
  <c r="G58" i="5"/>
  <c r="H58" i="5"/>
  <c r="I58" i="5"/>
  <c r="G60" i="5"/>
  <c r="H60" i="5"/>
  <c r="I60" i="5"/>
  <c r="G62" i="5"/>
  <c r="H62" i="5"/>
  <c r="I62" i="5"/>
  <c r="I74" i="5"/>
  <c r="G74" i="5"/>
  <c r="F58" i="5"/>
  <c r="F60" i="5"/>
  <c r="F62" i="5"/>
  <c r="F55" i="5"/>
  <c r="F74" i="5"/>
  <c r="M322" i="3"/>
  <c r="J15" i="7"/>
  <c r="F15" i="7"/>
  <c r="K28" i="7"/>
  <c r="O29" i="7"/>
  <c r="L15" i="7"/>
  <c r="L16" i="7"/>
  <c r="K15" i="7"/>
  <c r="M15" i="7"/>
  <c r="N15" i="7"/>
  <c r="O15" i="7"/>
  <c r="P15" i="7"/>
  <c r="Q15" i="7"/>
  <c r="R15" i="7"/>
  <c r="S15" i="7"/>
  <c r="T15" i="7"/>
  <c r="U15" i="7"/>
  <c r="V15" i="7"/>
  <c r="W15" i="7"/>
  <c r="X15" i="7"/>
  <c r="Y15" i="7"/>
  <c r="Z15" i="7"/>
  <c r="M16" i="7"/>
  <c r="N16" i="7"/>
  <c r="O16" i="7"/>
  <c r="P16" i="7"/>
  <c r="Q16" i="7"/>
  <c r="R16" i="7"/>
  <c r="S16" i="7"/>
  <c r="T16" i="7"/>
  <c r="U16" i="7"/>
  <c r="V16" i="7"/>
  <c r="W16" i="7"/>
  <c r="X16" i="7"/>
  <c r="Y16" i="7"/>
  <c r="Z16" i="7"/>
  <c r="U36" i="8"/>
  <c r="M17" i="7"/>
  <c r="F23" i="7"/>
  <c r="G23" i="7"/>
  <c r="J74" i="5"/>
  <c r="F13" i="1"/>
  <c r="J13" i="1"/>
  <c r="K13" i="1"/>
  <c r="L13" i="1"/>
  <c r="M13" i="1"/>
  <c r="N13" i="1"/>
  <c r="O13" i="1"/>
  <c r="P13" i="1"/>
  <c r="Q13" i="1"/>
  <c r="R13" i="1"/>
  <c r="S13" i="1"/>
  <c r="T13" i="1"/>
  <c r="U13" i="1"/>
  <c r="V13" i="1"/>
  <c r="W13" i="1"/>
  <c r="X13" i="1"/>
  <c r="D15" i="2"/>
  <c r="D16" i="2"/>
  <c r="F14" i="1"/>
  <c r="J14" i="1"/>
  <c r="K14" i="1"/>
  <c r="L14" i="1"/>
  <c r="M14" i="1"/>
  <c r="N14" i="1"/>
  <c r="O14" i="1"/>
  <c r="P14" i="1"/>
  <c r="Q14" i="1"/>
  <c r="R14" i="1"/>
  <c r="S14" i="1"/>
  <c r="T14" i="1"/>
  <c r="U14" i="1"/>
  <c r="V14" i="1"/>
  <c r="W14" i="1"/>
  <c r="X14" i="1"/>
  <c r="M15" i="1"/>
  <c r="V19" i="1"/>
  <c r="T19" i="1"/>
  <c r="R19" i="1"/>
  <c r="P19" i="1"/>
  <c r="N19" i="1"/>
  <c r="L19" i="1"/>
  <c r="J19" i="1"/>
  <c r="H19" i="1"/>
  <c r="F19" i="1"/>
  <c r="O10" i="8"/>
  <c r="E10" i="8"/>
  <c r="M10" i="8"/>
  <c r="P23" i="7"/>
  <c r="N23" i="7"/>
  <c r="L23" i="7"/>
  <c r="J23" i="7"/>
  <c r="H23" i="7"/>
  <c r="S15" i="1"/>
  <c r="K25" i="1"/>
  <c r="O31" i="1"/>
  <c r="O30" i="1"/>
  <c r="O29" i="1"/>
  <c r="O28" i="1"/>
  <c r="O27" i="1"/>
  <c r="O26" i="1"/>
  <c r="S26" i="1"/>
  <c r="K26" i="1"/>
  <c r="S36" i="7"/>
  <c r="S35" i="7"/>
  <c r="S34" i="7"/>
  <c r="S33" i="7"/>
  <c r="O35" i="7"/>
  <c r="O33" i="7"/>
  <c r="T32" i="7"/>
  <c r="S32" i="7"/>
  <c r="T31" i="7"/>
  <c r="S31" i="7"/>
  <c r="W34" i="7"/>
  <c r="W39" i="7"/>
  <c r="W38" i="7"/>
  <c r="W37" i="7"/>
  <c r="W36" i="7"/>
  <c r="O32" i="7"/>
  <c r="O31" i="7"/>
  <c r="O30" i="7"/>
  <c r="H74" i="5"/>
  <c r="M23" i="7"/>
  <c r="S31" i="1"/>
  <c r="S30" i="1"/>
  <c r="S29" i="1"/>
  <c r="S28" i="1"/>
  <c r="S27" i="1"/>
  <c r="W34" i="1"/>
  <c r="W33" i="1"/>
  <c r="W32" i="1"/>
  <c r="W31" i="1"/>
  <c r="W29" i="1"/>
  <c r="AA40" i="1"/>
  <c r="AA39" i="1"/>
  <c r="AA38" i="1"/>
  <c r="AA37" i="1"/>
  <c r="AA36" i="1"/>
  <c r="AA35" i="1"/>
  <c r="AA34" i="1"/>
  <c r="AA33" i="1"/>
  <c r="AE40" i="1"/>
  <c r="AE39" i="1"/>
  <c r="AE37" i="1"/>
  <c r="AE36" i="1"/>
  <c r="AE34" i="1"/>
  <c r="AI40" i="1"/>
  <c r="AI37" i="1"/>
  <c r="G19" i="1"/>
  <c r="I19" i="1"/>
  <c r="H12" i="5"/>
  <c r="I12" i="5"/>
  <c r="J12" i="5"/>
  <c r="H7" i="5"/>
  <c r="I7" i="5"/>
  <c r="J7" i="5"/>
  <c r="G16" i="5"/>
  <c r="H16" i="5"/>
  <c r="I16" i="5"/>
  <c r="G18" i="5"/>
  <c r="H18" i="5"/>
  <c r="I18" i="5"/>
  <c r="H20" i="5"/>
  <c r="I20" i="5"/>
  <c r="G24" i="5"/>
  <c r="H24" i="5"/>
  <c r="I24" i="5"/>
  <c r="G26" i="5"/>
  <c r="H26" i="5"/>
  <c r="I26" i="5"/>
  <c r="I28" i="5"/>
  <c r="J28" i="5"/>
  <c r="K74" i="5"/>
  <c r="C246" i="9"/>
  <c r="C248" i="9"/>
  <c r="D32" i="8"/>
  <c r="D33" i="8"/>
  <c r="C85" i="9"/>
  <c r="N74" i="5"/>
  <c r="O74" i="5"/>
  <c r="P74" i="5"/>
  <c r="J312" i="3"/>
  <c r="R74" i="5"/>
  <c r="Q74" i="5"/>
  <c r="M74" i="5"/>
  <c r="L74" i="5"/>
  <c r="H5" i="7"/>
  <c r="G1" i="7"/>
  <c r="H1" i="7"/>
  <c r="E33" i="8"/>
  <c r="C425" i="9"/>
  <c r="B19" i="7"/>
  <c r="B18" i="7"/>
  <c r="T27" i="8"/>
  <c r="S27" i="8"/>
  <c r="R27" i="8"/>
  <c r="Q27" i="8"/>
  <c r="P27" i="8"/>
  <c r="O27" i="8"/>
  <c r="N27" i="8"/>
  <c r="M27" i="8"/>
  <c r="L27" i="8"/>
  <c r="K27" i="8"/>
  <c r="J27" i="8"/>
  <c r="I27" i="8"/>
  <c r="H27" i="8"/>
  <c r="G27" i="8"/>
  <c r="F27" i="8"/>
  <c r="E27" i="8"/>
  <c r="D27" i="8"/>
  <c r="C27" i="8"/>
  <c r="C25" i="8"/>
  <c r="T25" i="8"/>
  <c r="S25" i="8"/>
  <c r="R25" i="8"/>
  <c r="Q25" i="8"/>
  <c r="P25" i="8"/>
  <c r="O25" i="8"/>
  <c r="N25" i="8"/>
  <c r="M25" i="8"/>
  <c r="L25" i="8"/>
  <c r="K25" i="8"/>
  <c r="J25" i="8"/>
  <c r="I25" i="8"/>
  <c r="H25" i="8"/>
  <c r="G25" i="8"/>
  <c r="F25" i="8"/>
  <c r="D25" i="8"/>
  <c r="E25" i="8"/>
  <c r="M19" i="7"/>
  <c r="S18" i="7"/>
  <c r="AA17" i="8"/>
  <c r="Z17" i="8"/>
  <c r="Y17" i="8"/>
  <c r="Z16" i="8"/>
  <c r="Z20" i="8"/>
  <c r="Y16" i="8"/>
  <c r="Y19" i="8"/>
  <c r="Y20" i="8"/>
  <c r="Y18" i="8"/>
  <c r="Z19" i="8"/>
  <c r="Z18" i="8"/>
  <c r="C582" i="9"/>
  <c r="C23" i="8"/>
  <c r="T23" i="8"/>
  <c r="S23" i="8"/>
  <c r="R23" i="8"/>
  <c r="Q23" i="8"/>
  <c r="P23" i="8"/>
  <c r="O23" i="8"/>
  <c r="N23" i="8"/>
  <c r="M23" i="8"/>
  <c r="L23" i="8"/>
  <c r="K23" i="8"/>
  <c r="J23" i="8"/>
  <c r="I23" i="8"/>
  <c r="H23" i="8"/>
  <c r="G23" i="8"/>
  <c r="F23" i="8"/>
  <c r="E23" i="8"/>
  <c r="D23" i="8"/>
  <c r="C580" i="9"/>
  <c r="C579" i="9"/>
  <c r="C578" i="9"/>
  <c r="C577" i="9"/>
  <c r="C576" i="9"/>
  <c r="C575" i="9"/>
  <c r="C574" i="9"/>
  <c r="C573" i="9"/>
  <c r="C572" i="9"/>
  <c r="C571" i="9"/>
  <c r="C570" i="9"/>
  <c r="C569" i="9"/>
  <c r="C568" i="9"/>
  <c r="C567" i="9"/>
  <c r="C566" i="9"/>
  <c r="C563" i="9"/>
  <c r="C564" i="9"/>
  <c r="C565" i="9"/>
  <c r="C559" i="9"/>
  <c r="C557" i="9"/>
  <c r="C561" i="9"/>
  <c r="F2" i="7"/>
  <c r="K30" i="1"/>
  <c r="K28" i="1"/>
  <c r="K27" i="1"/>
  <c r="K24" i="1"/>
  <c r="D77" i="8"/>
  <c r="D79" i="8"/>
  <c r="J13" i="7"/>
  <c r="D82" i="8"/>
  <c r="D80" i="8"/>
  <c r="Y13" i="7"/>
  <c r="W13" i="7"/>
  <c r="U13" i="7"/>
  <c r="D81" i="8"/>
  <c r="S13" i="7"/>
  <c r="Q13" i="7"/>
  <c r="O13" i="7"/>
  <c r="M13" i="7"/>
  <c r="K13" i="7"/>
  <c r="P13" i="7"/>
  <c r="C81" i="8"/>
  <c r="C79" i="8"/>
  <c r="C77" i="8"/>
  <c r="F13" i="7"/>
  <c r="X13" i="7"/>
  <c r="C82" i="8"/>
  <c r="V13" i="7"/>
  <c r="C80" i="8"/>
  <c r="D78" i="8"/>
  <c r="C78" i="8"/>
  <c r="L13" i="7"/>
  <c r="N13" i="7"/>
  <c r="R13" i="7"/>
  <c r="Z13" i="7"/>
  <c r="T13" i="7"/>
  <c r="G2" i="7"/>
  <c r="H2" i="7"/>
  <c r="G3" i="7"/>
  <c r="G4" i="7"/>
  <c r="I20" i="8"/>
  <c r="L11" i="8"/>
  <c r="L10" i="8"/>
  <c r="L12" i="8"/>
  <c r="M11" i="8"/>
  <c r="M12" i="8"/>
  <c r="N11" i="8"/>
  <c r="N10" i="8"/>
  <c r="N12" i="8"/>
  <c r="O11" i="8"/>
  <c r="O12" i="8"/>
  <c r="E27" i="2"/>
  <c r="B9" i="1"/>
  <c r="D16" i="8"/>
  <c r="H3" i="7"/>
  <c r="D17" i="8"/>
  <c r="H4" i="7"/>
  <c r="I19" i="8"/>
  <c r="C508" i="9"/>
  <c r="I21" i="8"/>
  <c r="D15" i="8"/>
  <c r="K10" i="8"/>
  <c r="J10" i="8"/>
  <c r="F10" i="8"/>
  <c r="U10" i="8"/>
  <c r="T10" i="8"/>
  <c r="S10" i="8"/>
  <c r="R10" i="8"/>
  <c r="C28" i="8"/>
  <c r="T26" i="8"/>
  <c r="S26" i="8"/>
  <c r="R26" i="8"/>
  <c r="R31" i="8"/>
  <c r="Q26" i="8"/>
  <c r="Q31" i="8"/>
  <c r="P26" i="8"/>
  <c r="O26" i="8"/>
  <c r="N26" i="8"/>
  <c r="M26" i="8"/>
  <c r="L26" i="8"/>
  <c r="L30" i="8"/>
  <c r="K26" i="8"/>
  <c r="K30" i="8"/>
  <c r="J26" i="8"/>
  <c r="J30" i="8"/>
  <c r="I26" i="8"/>
  <c r="I30" i="8"/>
  <c r="H26" i="8"/>
  <c r="G26" i="8"/>
  <c r="D26" i="8"/>
  <c r="F26" i="8"/>
  <c r="P31" i="8"/>
  <c r="D28" i="8"/>
  <c r="O31" i="8"/>
  <c r="S31" i="8"/>
  <c r="C26" i="8"/>
  <c r="C30" i="8"/>
  <c r="C493" i="9"/>
  <c r="C496" i="9"/>
  <c r="C503" i="9"/>
  <c r="C492" i="9"/>
  <c r="C499" i="9"/>
  <c r="C505" i="9"/>
  <c r="C495" i="9"/>
  <c r="C501" i="9"/>
  <c r="C507" i="9"/>
  <c r="C497" i="9"/>
  <c r="C500" i="9"/>
  <c r="C509" i="9"/>
  <c r="C494" i="9"/>
  <c r="C498" i="9"/>
  <c r="C502" i="9"/>
  <c r="C506" i="9"/>
  <c r="C504" i="9"/>
  <c r="T31" i="8"/>
  <c r="D30" i="8"/>
  <c r="D31" i="8"/>
  <c r="H30" i="8"/>
  <c r="G30" i="8"/>
  <c r="E26" i="8"/>
  <c r="C535" i="9"/>
  <c r="C533" i="9"/>
  <c r="C534" i="9"/>
  <c r="C531" i="9"/>
  <c r="C532" i="9"/>
  <c r="C529" i="9"/>
  <c r="C530" i="9"/>
  <c r="C527" i="9"/>
  <c r="C528" i="9"/>
  <c r="C525" i="9"/>
  <c r="C526" i="9"/>
  <c r="C523" i="9"/>
  <c r="C524" i="9"/>
  <c r="C521" i="9"/>
  <c r="C522" i="9"/>
  <c r="C520" i="9"/>
  <c r="C519" i="9"/>
  <c r="C518" i="9"/>
  <c r="C473" i="9"/>
  <c r="C475" i="9"/>
  <c r="C474" i="9"/>
  <c r="C489" i="9"/>
  <c r="C490" i="9"/>
  <c r="C487" i="9"/>
  <c r="C488" i="9"/>
  <c r="C485" i="9"/>
  <c r="C486" i="9"/>
  <c r="C484" i="9"/>
  <c r="C482" i="9"/>
  <c r="C483" i="9"/>
  <c r="C480" i="9"/>
  <c r="C481" i="9"/>
  <c r="C478" i="9"/>
  <c r="C479" i="9"/>
  <c r="C476" i="9"/>
  <c r="C477" i="9"/>
  <c r="C42" i="8"/>
  <c r="C41" i="8"/>
  <c r="C384" i="9"/>
  <c r="C383" i="9"/>
  <c r="C382" i="9"/>
  <c r="C381" i="9"/>
  <c r="C380" i="9"/>
  <c r="C379" i="9"/>
  <c r="C378" i="9"/>
  <c r="C377" i="9"/>
  <c r="C376" i="9"/>
  <c r="C375" i="9"/>
  <c r="C374" i="9"/>
  <c r="C373" i="9"/>
  <c r="C372" i="9"/>
  <c r="C371" i="9"/>
  <c r="C370" i="9"/>
  <c r="C369" i="9"/>
  <c r="C368" i="9"/>
  <c r="C367" i="9"/>
  <c r="C356" i="9"/>
  <c r="C355" i="9"/>
  <c r="C354" i="9"/>
  <c r="C353" i="9"/>
  <c r="C352" i="9"/>
  <c r="C351" i="9"/>
  <c r="C350" i="9"/>
  <c r="C349" i="9"/>
  <c r="C348" i="9"/>
  <c r="C347" i="9"/>
  <c r="C346" i="9"/>
  <c r="C345" i="9"/>
  <c r="C339" i="9"/>
  <c r="C340" i="9"/>
  <c r="C344" i="9"/>
  <c r="C343" i="9"/>
  <c r="C342" i="9"/>
  <c r="C341" i="9"/>
  <c r="C31" i="8"/>
  <c r="E22" i="8"/>
  <c r="E28" i="8"/>
  <c r="E30" i="8"/>
  <c r="D18" i="8"/>
  <c r="U38" i="8"/>
  <c r="C337" i="9"/>
  <c r="F4" i="7"/>
  <c r="C150" i="9"/>
  <c r="C166" i="9"/>
  <c r="C165" i="9"/>
  <c r="C164" i="9"/>
  <c r="C163" i="9"/>
  <c r="C162" i="9"/>
  <c r="C161" i="9"/>
  <c r="C160" i="9"/>
  <c r="C159" i="9"/>
  <c r="C158" i="9"/>
  <c r="C157" i="9"/>
  <c r="C155" i="9"/>
  <c r="C154" i="9"/>
  <c r="C153" i="9"/>
  <c r="C152" i="9"/>
  <c r="C151" i="9"/>
  <c r="C156" i="9"/>
  <c r="T42" i="8"/>
  <c r="S42" i="8"/>
  <c r="R42" i="8"/>
  <c r="Q42" i="8"/>
  <c r="T41" i="8"/>
  <c r="S41" i="8"/>
  <c r="R41" i="8"/>
  <c r="Q41" i="8"/>
  <c r="P42" i="8"/>
  <c r="P41" i="8"/>
  <c r="O42" i="8"/>
  <c r="O41" i="8"/>
  <c r="N42" i="8"/>
  <c r="N41" i="8"/>
  <c r="M42" i="8"/>
  <c r="M41" i="8"/>
  <c r="L42" i="8"/>
  <c r="L41" i="8"/>
  <c r="K42" i="8"/>
  <c r="K41" i="8"/>
  <c r="J42" i="8"/>
  <c r="J41" i="8"/>
  <c r="I42" i="8"/>
  <c r="I41" i="8"/>
  <c r="H42" i="8"/>
  <c r="H41" i="8"/>
  <c r="G42" i="8"/>
  <c r="G41" i="8"/>
  <c r="F42" i="8"/>
  <c r="F41" i="8"/>
  <c r="E42" i="8"/>
  <c r="E41" i="8"/>
  <c r="D42" i="8"/>
  <c r="D41" i="8"/>
  <c r="B41" i="8"/>
  <c r="B42" i="8"/>
  <c r="C52" i="9"/>
  <c r="G70" i="8"/>
  <c r="F70" i="8"/>
  <c r="Q66" i="8"/>
  <c r="O66" i="8"/>
  <c r="G66" i="8"/>
  <c r="F66" i="8"/>
  <c r="D50" i="8"/>
  <c r="F49" i="8"/>
  <c r="D49" i="8"/>
  <c r="F48" i="8"/>
  <c r="D48" i="8"/>
  <c r="F47" i="8"/>
  <c r="D47" i="8"/>
  <c r="F46" i="8"/>
  <c r="D46" i="8"/>
  <c r="F45" i="8"/>
  <c r="D45" i="8"/>
  <c r="F44" i="8"/>
  <c r="D44" i="8"/>
  <c r="F22" i="8"/>
  <c r="D36" i="8"/>
  <c r="D34" i="8"/>
  <c r="K23" i="7"/>
  <c r="I23" i="7"/>
  <c r="K28" i="5"/>
  <c r="K12" i="5"/>
  <c r="K7" i="5"/>
  <c r="E31" i="8"/>
  <c r="G22" i="8"/>
  <c r="F28" i="8"/>
  <c r="D38" i="8"/>
  <c r="D37" i="8"/>
  <c r="M19" i="1"/>
  <c r="O19" i="1"/>
  <c r="M12" i="5"/>
  <c r="P7" i="5"/>
  <c r="F12" i="5"/>
  <c r="F7" i="5"/>
  <c r="C232" i="3"/>
  <c r="C234" i="3"/>
  <c r="O35" i="2"/>
  <c r="N35" i="2"/>
  <c r="M35" i="2"/>
  <c r="L35" i="2"/>
  <c r="K35" i="2"/>
  <c r="J35" i="2"/>
  <c r="I35" i="2"/>
  <c r="C35" i="2"/>
  <c r="D35" i="2"/>
  <c r="E35" i="2"/>
  <c r="F35" i="2"/>
  <c r="G35" i="2"/>
  <c r="H35" i="2"/>
  <c r="O36" i="2"/>
  <c r="N36" i="2"/>
  <c r="M36" i="2"/>
  <c r="L36" i="2"/>
  <c r="K36" i="2"/>
  <c r="J36" i="2"/>
  <c r="I36" i="2"/>
  <c r="C36" i="2"/>
  <c r="D36" i="2"/>
  <c r="E36" i="2"/>
  <c r="F36" i="2"/>
  <c r="G36" i="2"/>
  <c r="H36" i="2"/>
  <c r="D38" i="2"/>
  <c r="F38" i="2"/>
  <c r="F39" i="2"/>
  <c r="D39" i="2"/>
  <c r="C175" i="3"/>
  <c r="C174" i="3"/>
  <c r="C173" i="3"/>
  <c r="C172" i="3"/>
  <c r="C171" i="3"/>
  <c r="C170" i="3"/>
  <c r="C169" i="3"/>
  <c r="C168" i="3"/>
  <c r="C167" i="3"/>
  <c r="C166" i="3"/>
  <c r="C165" i="3"/>
  <c r="C164" i="3"/>
  <c r="C163" i="3"/>
  <c r="C162" i="3"/>
  <c r="C161" i="3"/>
  <c r="F43" i="2"/>
  <c r="F42" i="2"/>
  <c r="F41" i="2"/>
  <c r="F40" i="2"/>
  <c r="D44" i="2"/>
  <c r="D43" i="2"/>
  <c r="D42" i="2"/>
  <c r="D41" i="2"/>
  <c r="D40" i="2"/>
  <c r="C65" i="3"/>
  <c r="H33" i="5"/>
  <c r="I33" i="5"/>
  <c r="K33" i="5"/>
  <c r="F18" i="5"/>
  <c r="F16" i="5"/>
  <c r="F26" i="5"/>
  <c r="F24" i="5"/>
  <c r="F20" i="5"/>
  <c r="K19" i="1"/>
  <c r="F33" i="5"/>
  <c r="J13" i="3"/>
  <c r="O60" i="2"/>
  <c r="N60" i="2"/>
  <c r="G64" i="2"/>
  <c r="F64" i="2"/>
  <c r="G60" i="2"/>
  <c r="F60" i="2"/>
  <c r="D22" i="2"/>
  <c r="E22" i="2"/>
  <c r="F22" i="2"/>
  <c r="G22" i="2"/>
  <c r="H22" i="2"/>
  <c r="I22" i="2"/>
  <c r="J22" i="2"/>
  <c r="K22" i="2"/>
  <c r="L22" i="2"/>
  <c r="M22" i="2"/>
  <c r="N22" i="2"/>
  <c r="O22" i="2"/>
  <c r="P22" i="2"/>
  <c r="Q22" i="2"/>
  <c r="O7" i="5"/>
  <c r="N12" i="5"/>
  <c r="D27" i="2"/>
  <c r="D26" i="2"/>
  <c r="D18" i="2"/>
  <c r="F31" i="8"/>
  <c r="F30" i="8"/>
  <c r="H22" i="8"/>
  <c r="G28" i="8"/>
  <c r="G31" i="8"/>
  <c r="C40" i="8"/>
  <c r="O40" i="8"/>
  <c r="L40" i="8"/>
  <c r="M40" i="8"/>
  <c r="N40" i="8"/>
  <c r="Q40" i="8"/>
  <c r="R40" i="8"/>
  <c r="S40" i="8"/>
  <c r="P40" i="8"/>
  <c r="E40" i="8"/>
  <c r="F40" i="8"/>
  <c r="G40" i="8"/>
  <c r="D40" i="8"/>
  <c r="T40" i="8"/>
  <c r="I40" i="8"/>
  <c r="J40" i="8"/>
  <c r="K40" i="8"/>
  <c r="H40" i="8"/>
  <c r="L12" i="5"/>
  <c r="P12" i="5"/>
  <c r="O12" i="5"/>
  <c r="F28" i="5"/>
  <c r="Q12" i="5"/>
  <c r="M7" i="5"/>
  <c r="H28" i="5"/>
  <c r="J11" i="3"/>
  <c r="M33" i="5"/>
  <c r="Q7" i="5"/>
  <c r="N7" i="5"/>
  <c r="N33" i="5"/>
  <c r="G28" i="5"/>
  <c r="J33" i="5"/>
  <c r="L7" i="5"/>
  <c r="L33" i="5"/>
  <c r="O33" i="5"/>
  <c r="B36" i="2"/>
  <c r="B35" i="2"/>
  <c r="D28" i="2"/>
  <c r="C96" i="3"/>
  <c r="J8" i="1"/>
  <c r="I22" i="8"/>
  <c r="H28" i="8"/>
  <c r="H31" i="8"/>
  <c r="C22" i="9"/>
  <c r="C18" i="9"/>
  <c r="C12" i="9"/>
  <c r="C20" i="9"/>
  <c r="C21" i="9"/>
  <c r="C17" i="9"/>
  <c r="C14" i="9"/>
  <c r="C19" i="9"/>
  <c r="C9" i="9"/>
  <c r="C8" i="9"/>
  <c r="C13" i="9"/>
  <c r="C10" i="9"/>
  <c r="C7" i="9"/>
  <c r="C23" i="9"/>
  <c r="C15" i="9"/>
  <c r="C11" i="9"/>
  <c r="C16" i="9"/>
  <c r="Q28" i="5"/>
  <c r="L28" i="5"/>
  <c r="O28" i="5"/>
  <c r="M28" i="5"/>
  <c r="P28" i="5"/>
  <c r="N28" i="5"/>
  <c r="D30" i="2"/>
  <c r="D31" i="2"/>
  <c r="C10" i="3"/>
  <c r="C17" i="3"/>
  <c r="C22" i="3"/>
  <c r="C20" i="3"/>
  <c r="C23" i="3"/>
  <c r="C15" i="3"/>
  <c r="C12" i="3"/>
  <c r="C21" i="3"/>
  <c r="C13" i="3"/>
  <c r="C24" i="3"/>
  <c r="C16" i="3"/>
  <c r="C18" i="3"/>
  <c r="C19" i="3"/>
  <c r="C11" i="3"/>
  <c r="C14" i="3"/>
  <c r="J22" i="8"/>
  <c r="I28" i="8"/>
  <c r="I31" i="8"/>
  <c r="D32" i="2"/>
  <c r="F34" i="2"/>
  <c r="G23" i="2"/>
  <c r="G24" i="2"/>
  <c r="F23" i="2"/>
  <c r="F24" i="2"/>
  <c r="M23" i="2"/>
  <c r="M24" i="2"/>
  <c r="D23" i="2"/>
  <c r="D24" i="2"/>
  <c r="E23" i="2"/>
  <c r="E24" i="2"/>
  <c r="I23" i="2"/>
  <c r="I24" i="2"/>
  <c r="O23" i="2"/>
  <c r="O24" i="2"/>
  <c r="G15" i="1"/>
  <c r="N23" i="2"/>
  <c r="N24" i="2"/>
  <c r="J23" i="2"/>
  <c r="J24" i="2"/>
  <c r="C23" i="2"/>
  <c r="C24" i="2"/>
  <c r="L23" i="2"/>
  <c r="L24" i="2"/>
  <c r="Q23" i="2"/>
  <c r="Q24" i="2"/>
  <c r="P23" i="2"/>
  <c r="P24" i="2"/>
  <c r="K23" i="2"/>
  <c r="K24" i="2"/>
  <c r="H23" i="2"/>
  <c r="H24" i="2"/>
  <c r="K22" i="8"/>
  <c r="J28" i="8"/>
  <c r="J31" i="8"/>
  <c r="O34" i="2"/>
  <c r="D34" i="2"/>
  <c r="G34" i="2"/>
  <c r="K34" i="2"/>
  <c r="M34" i="2"/>
  <c r="J34" i="2"/>
  <c r="P34" i="2"/>
  <c r="I34" i="2"/>
  <c r="L34" i="2"/>
  <c r="Q34" i="2"/>
  <c r="E34" i="2"/>
  <c r="H34" i="2"/>
  <c r="N34" i="2"/>
  <c r="C34" i="2"/>
  <c r="D21" i="2"/>
  <c r="L22" i="8"/>
  <c r="K28" i="8"/>
  <c r="K31" i="8"/>
  <c r="W12" i="1"/>
  <c r="C152" i="3"/>
  <c r="O12" i="1"/>
  <c r="C144" i="3"/>
  <c r="Q12" i="1"/>
  <c r="C146" i="3"/>
  <c r="R12" i="1"/>
  <c r="C147" i="3"/>
  <c r="L12" i="1"/>
  <c r="C141" i="3"/>
  <c r="J12" i="1"/>
  <c r="C139" i="3"/>
  <c r="M12" i="1"/>
  <c r="C142" i="3"/>
  <c r="K12" i="1"/>
  <c r="C140" i="3"/>
  <c r="X12" i="1"/>
  <c r="C153" i="3"/>
  <c r="T12" i="1"/>
  <c r="C149" i="3"/>
  <c r="P12" i="1"/>
  <c r="C145" i="3"/>
  <c r="N12" i="1"/>
  <c r="C143" i="3"/>
  <c r="S12" i="1"/>
  <c r="C148" i="3"/>
  <c r="U12" i="1"/>
  <c r="C150" i="3"/>
  <c r="V12" i="1"/>
  <c r="C151" i="3"/>
  <c r="W5" i="1"/>
  <c r="O5" i="1"/>
  <c r="X5" i="1"/>
  <c r="M5" i="1"/>
  <c r="V5" i="1"/>
  <c r="Q5" i="1"/>
  <c r="S5" i="1"/>
  <c r="U5" i="1"/>
  <c r="R5" i="1"/>
  <c r="L5" i="1"/>
  <c r="T5" i="1"/>
  <c r="N5" i="1"/>
  <c r="P5" i="1"/>
  <c r="K5" i="1"/>
  <c r="J5" i="1"/>
  <c r="M22" i="8"/>
  <c r="L28" i="8"/>
  <c r="L31" i="8"/>
  <c r="C24" i="8"/>
  <c r="F15" i="1"/>
  <c r="N22" i="8"/>
  <c r="M28" i="8"/>
  <c r="I24" i="8"/>
  <c r="T24" i="8"/>
  <c r="P24" i="8"/>
  <c r="L24" i="8"/>
  <c r="H24" i="8"/>
  <c r="S24" i="8"/>
  <c r="O24" i="8"/>
  <c r="K24" i="8"/>
  <c r="R24" i="8"/>
  <c r="N24" i="8"/>
  <c r="J24" i="8"/>
  <c r="Q24" i="8"/>
  <c r="M24" i="8"/>
  <c r="E24" i="8"/>
  <c r="G24" i="8"/>
  <c r="F24" i="8"/>
  <c r="D24" i="8"/>
  <c r="M30" i="8"/>
  <c r="M31" i="8"/>
  <c r="O22" i="8"/>
  <c r="N28" i="8"/>
  <c r="D21" i="8"/>
  <c r="N30" i="8"/>
  <c r="N31" i="8"/>
  <c r="U31" i="8"/>
  <c r="U33" i="8"/>
  <c r="U35" i="8"/>
  <c r="P22" i="8"/>
  <c r="O28" i="8"/>
  <c r="O30" i="8"/>
  <c r="F12" i="7"/>
  <c r="C398" i="9"/>
  <c r="Z12" i="7"/>
  <c r="C415" i="9"/>
  <c r="V12" i="7"/>
  <c r="C411" i="9"/>
  <c r="R12" i="7"/>
  <c r="C407" i="9"/>
  <c r="N12" i="7"/>
  <c r="C403" i="9"/>
  <c r="J12" i="7"/>
  <c r="C399" i="9"/>
  <c r="Y12" i="7"/>
  <c r="C414" i="9"/>
  <c r="U12" i="7"/>
  <c r="C410" i="9"/>
  <c r="Q12" i="7"/>
  <c r="C406" i="9"/>
  <c r="M12" i="7"/>
  <c r="C402" i="9"/>
  <c r="X12" i="7"/>
  <c r="C413" i="9"/>
  <c r="T12" i="7"/>
  <c r="C409" i="9"/>
  <c r="P12" i="7"/>
  <c r="C405" i="9"/>
  <c r="L12" i="7"/>
  <c r="C401" i="9"/>
  <c r="W12" i="7"/>
  <c r="C412" i="9"/>
  <c r="S12" i="7"/>
  <c r="C408" i="9"/>
  <c r="O12" i="7"/>
  <c r="C404" i="9"/>
  <c r="K12" i="7"/>
  <c r="C400" i="9"/>
  <c r="Q22" i="8"/>
  <c r="P28" i="8"/>
  <c r="P30" i="8"/>
  <c r="C142" i="9"/>
  <c r="C141" i="9"/>
  <c r="C140" i="9"/>
  <c r="C129" i="9"/>
  <c r="C139" i="9"/>
  <c r="C131" i="9"/>
  <c r="C135" i="9"/>
  <c r="C134" i="9"/>
  <c r="C136" i="9"/>
  <c r="C128" i="9"/>
  <c r="C132" i="9"/>
  <c r="C127" i="9"/>
  <c r="C130" i="9"/>
  <c r="C138" i="9"/>
  <c r="C133" i="9"/>
  <c r="C137" i="9"/>
  <c r="C126" i="9"/>
  <c r="R22" i="8"/>
  <c r="Q28" i="8"/>
  <c r="Q30" i="8"/>
  <c r="S22" i="8"/>
  <c r="R28" i="8"/>
  <c r="R30" i="8"/>
  <c r="J8" i="7"/>
  <c r="C426" i="9"/>
  <c r="C441" i="9"/>
  <c r="C541" i="9"/>
  <c r="E425" i="9"/>
  <c r="C539" i="9"/>
  <c r="C438" i="9"/>
  <c r="C433" i="9"/>
  <c r="C552" i="9"/>
  <c r="C435" i="9"/>
  <c r="C538" i="9"/>
  <c r="C429" i="9"/>
  <c r="C540" i="9"/>
  <c r="C551" i="9"/>
  <c r="C550" i="9"/>
  <c r="C545" i="9"/>
  <c r="C537" i="9"/>
  <c r="C546" i="9"/>
  <c r="C553" i="9"/>
  <c r="C432" i="9"/>
  <c r="C437" i="9"/>
  <c r="C543" i="9"/>
  <c r="C547" i="9"/>
  <c r="C436" i="9"/>
  <c r="C549" i="9"/>
  <c r="C544" i="9"/>
  <c r="C554" i="9"/>
  <c r="C431" i="9"/>
  <c r="C430" i="9"/>
  <c r="C434" i="9"/>
  <c r="C548" i="9"/>
  <c r="C439" i="9"/>
  <c r="C440" i="9"/>
  <c r="C542" i="9"/>
  <c r="C427" i="9"/>
  <c r="C442" i="9"/>
  <c r="B9" i="7"/>
  <c r="C428" i="9"/>
  <c r="U5" i="7"/>
  <c r="Y5" i="7"/>
  <c r="Z5" i="7"/>
  <c r="W5" i="7"/>
  <c r="V5" i="7"/>
  <c r="X5" i="7"/>
  <c r="S5" i="7"/>
  <c r="T5" i="7"/>
  <c r="O5" i="7"/>
  <c r="J5" i="7"/>
  <c r="R5" i="7"/>
  <c r="F1" i="7"/>
  <c r="L5" i="7"/>
  <c r="Q5" i="7"/>
  <c r="P5" i="7"/>
  <c r="M5" i="7"/>
  <c r="I5" i="7"/>
  <c r="K5" i="7"/>
  <c r="N5" i="7"/>
  <c r="T22" i="8"/>
  <c r="T28" i="8"/>
  <c r="S28" i="8"/>
  <c r="S30" i="8"/>
  <c r="F17" i="7"/>
  <c r="T30" i="8"/>
  <c r="U30" i="8"/>
  <c r="U32" i="8"/>
  <c r="U34" i="8"/>
  <c r="U28" i="8"/>
  <c r="U29" i="8"/>
  <c r="F19" i="7"/>
  <c r="G17" i="7"/>
  <c r="Y22" i="8"/>
  <c r="Y23" i="8"/>
  <c r="I18" i="7"/>
  <c r="G1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IBM_USER</author>
    <author>Stefan Neff</author>
  </authors>
  <commentList>
    <comment ref="I2" authorId="0" shapeId="0" xr:uid="{00000000-0006-0000-0100-000001000000}">
      <text>
        <r>
          <rPr>
            <sz val="8"/>
            <color indexed="81"/>
            <rFont val="Tahoma"/>
            <family val="2"/>
          </rPr>
          <t>V5.6: Nov 2017, Add LTO8 Capacity, added TS155 for TS3500, rework TS4300 section for the I/O selection and count
V5.5: Sept 2017, Add TS1155 Capacity, minor bug fixes, add TS4300 section
V5.41: Fix some minor issues
V5.4: TS4500 R3 HA support with EC (release), Flex Track Option via colour added
V5.3: TS4500 R3 HA support added BETA version
V5.2: fixes and power summary and space demands added by SNEFF
V5.1: Oct 2015, LTO7 added and TS4500 R2 (initial support), plus frame weights by SNEFF</t>
        </r>
      </text>
    </comment>
    <comment ref="M18" authorId="1" shapeId="0" xr:uid="{00000000-0006-0000-0100-000002000000}">
      <text>
        <r>
          <rPr>
            <sz val="9"/>
            <color indexed="81"/>
            <rFont val="Tahoma"/>
            <family val="2"/>
          </rPr>
          <t xml:space="preserve">The “Elastic capacity” option eliminates inactive accessor service space in the first and last library frame in an HA library configuration. This cartridge space can be used for least recently used cartridges, or used for temporary overflow for inserted tapes via the I/O station. Be aware that these service space columns are only accessible by one accessor.
The following three options can be configured by the library administrator via the Web GUI:
</t>
        </r>
        <r>
          <rPr>
            <b/>
            <sz val="9"/>
            <color indexed="81"/>
            <rFont val="Tahoma"/>
            <family val="2"/>
          </rPr>
          <t xml:space="preserve">"Use for Maximum Capacity (default)"
</t>
        </r>
        <r>
          <rPr>
            <sz val="9"/>
            <color indexed="81"/>
            <rFont val="Tahoma"/>
            <family val="2"/>
          </rPr>
          <t xml:space="preserve">&gt; Move least recently used cartridges to the accessor service areas of the library when non-service areas are nearly full.
</t>
        </r>
        <r>
          <rPr>
            <b/>
            <sz val="9"/>
            <color indexed="81"/>
            <rFont val="Tahoma"/>
            <family val="2"/>
          </rPr>
          <t xml:space="preserve">"Use for Temporary Overflow"
</t>
        </r>
        <r>
          <rPr>
            <sz val="9"/>
            <color indexed="81"/>
            <rFont val="Tahoma"/>
            <family val="2"/>
          </rPr>
          <t xml:space="preserve">&gt; Import I/O Station cartridges into the accessor service areas of the library when non-service areas are full.
</t>
        </r>
        <r>
          <rPr>
            <b/>
            <sz val="9"/>
            <color indexed="81"/>
            <rFont val="Tahoma"/>
            <family val="2"/>
          </rPr>
          <t xml:space="preserve">"Do not use"
</t>
        </r>
        <r>
          <rPr>
            <sz val="9"/>
            <color indexed="81"/>
            <rFont val="Tahoma"/>
            <family val="2"/>
          </rPr>
          <t>&gt; Do not move cartridges into the accessor service areas of the library. This may reduce the number of used library slots vs. the number of purchased licensed capacity.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IBM_USER</author>
  </authors>
  <commentList>
    <comment ref="I2" authorId="0" shapeId="0" xr:uid="{00000000-0006-0000-0200-000001000000}">
      <text>
        <r>
          <rPr>
            <sz val="8"/>
            <color indexed="81"/>
            <rFont val="Tahoma"/>
            <family val="2"/>
          </rPr>
          <t>V5.6: Nov 2017, Add LTO8 Capacity, added TS1155 for TS3500, rework TS4300 section for the I/O selection and count
V5.5: Sept 2017, added TS1155 in the capacity table
V5.0: Oct 2015, LTO7 added and add TS4500 R2 in separate sheet by SNEFF
V4.3: Nov 15, 2012, LTO 6 update for TS3100/3200/3310
V4.2: Oct 03, 2012, LTO 6 update
V4.1: Nov 12, 2011, Update TS3310 with M2 picker
V4.0: Jun 06,2011, TS1140 
V3.5: Apr 20, 2010, LTO 5 update
V3.42: Oct. 21, 2009, # of Half-high tape drives for TS3310/TS3320 
V3.41: Jun. 22, 2009, Library Firmware Level
V3.4: Jun. 22, 2009, HD frames &amp; LM &gt;=9500, &gt;6887 slots
V3.31: Oct. 03, 2008, Correct a display error for a single frame library
V3.3: Sep. 15, 2008, Add HD frames(S24, S54)
V3.2.1: Sep 11, 2008, Minor update for TS3310, TS3400
V3.2: Aug 08, 2008, TS1130, update/fix the errors
V3.11: Jun 23, 2008, Update "note" on TS3310
V3.1: Jun 17, 2008, Capacity (Native, Compressed)
V3.0: Apr 24, 2008, Add TS3100/3200/3310/3400
V2.51: Jun 26, 2007, LTO G4 WORM update
V2.5: May 14, 2007, LTO G4 &amp; 4 IO Station for D23 and D53
V2.4: Nov 11, 2006, TS3500 &amp; 700GB JB/JX cartridge
V2.33: Oct 16,2006, Fix Lxx--- as KSLxx---
V2.32: Oct 13,2006, Fix LxxDOn as LxxDOS or LxxDOM
V2.31: Oct 5, 2006, Fix error on L32-&gt; L5x, L2x with Mixed media
V2.3: Sep 19,2006, Fix Prereq. Checking for Mixed media 
V2.2: Aug 11,2006, Avialable Capacity(TB) table
V2.1: Jun 19,2006, Add L23/53 and D23/D53, Hide the contents
V1.2: Feb 09,2006, Fix Prereq. Checking for L52/22 On Demand
V1.1: Jan 16,3006, Fix some typos
V1.1: Jan 09,2006</t>
        </r>
      </text>
    </comment>
  </commentList>
</comments>
</file>

<file path=xl/sharedStrings.xml><?xml version="1.0" encoding="utf-8"?>
<sst xmlns="http://schemas.openxmlformats.org/spreadsheetml/2006/main" count="1907" uniqueCount="651">
  <si>
    <t>L32</t>
  </si>
  <si>
    <t>L22</t>
  </si>
  <si>
    <t>Entry</t>
  </si>
  <si>
    <t>Intermediate</t>
  </si>
  <si>
    <t>Full</t>
  </si>
  <si>
    <t>D22</t>
  </si>
  <si>
    <t>0 - 12</t>
  </si>
  <si>
    <t>5 - 8</t>
  </si>
  <si>
    <t>9 - 12</t>
  </si>
  <si>
    <t>1 - 4</t>
  </si>
  <si>
    <t>32 I/O  slots</t>
  </si>
  <si>
    <t xml:space="preserve">16 I/O slots  </t>
  </si>
  <si>
    <t>3592</t>
  </si>
  <si>
    <t>D32</t>
  </si>
  <si>
    <t>LTO</t>
  </si>
  <si>
    <t>L52</t>
  </si>
  <si>
    <t>wo Cap. Exp.</t>
  </si>
  <si>
    <t>w Cap. Exp.</t>
  </si>
  <si>
    <t xml:space="preserve">16        I/O slots  </t>
  </si>
  <si>
    <t>32        I/O  slots</t>
  </si>
  <si>
    <t>10          I/O slots</t>
  </si>
  <si>
    <t>On Demand</t>
  </si>
  <si>
    <t>D52</t>
  </si>
  <si>
    <t>None</t>
  </si>
  <si>
    <t>NO Capacity Expansion</t>
  </si>
  <si>
    <t>Capacity Expansion</t>
  </si>
  <si>
    <t>26 or 30    I/O slots</t>
  </si>
  <si>
    <t>indirectio</t>
  </si>
  <si>
    <t>indirectod</t>
  </si>
  <si>
    <t>NumberDrives</t>
  </si>
  <si>
    <t>Lframe Row Index</t>
  </si>
  <si>
    <t>Lframe Column Index</t>
  </si>
  <si>
    <t>NumberFrames</t>
  </si>
  <si>
    <t>xxxxxxLT</t>
  </si>
  <si>
    <t>xxxxxxL3</t>
  </si>
  <si>
    <t>xxxxxxL2</t>
  </si>
  <si>
    <t>xxxxxxL1</t>
  </si>
  <si>
    <t>Cleaning Cartridge</t>
  </si>
  <si>
    <t>3592 J1A</t>
  </si>
  <si>
    <t>CLNnnnJA</t>
  </si>
  <si>
    <t>RW</t>
  </si>
  <si>
    <t>N</t>
  </si>
  <si>
    <t>R</t>
  </si>
  <si>
    <t>N/A</t>
  </si>
  <si>
    <t>Y</t>
  </si>
  <si>
    <t>Tape format</t>
  </si>
  <si>
    <t>2-char Desg.</t>
  </si>
  <si>
    <t>Compatibility</t>
  </si>
  <si>
    <t>Cap. (GB)</t>
  </si>
  <si>
    <t>Label Format</t>
  </si>
  <si>
    <t>Cmp.</t>
  </si>
  <si>
    <t>RW: Read/Write compatible, R: Read compatible, N: Not Compatible, Y: Compatible</t>
  </si>
  <si>
    <t># of drives</t>
  </si>
  <si>
    <t>3592 E05</t>
  </si>
  <si>
    <t>L22, L23</t>
  </si>
  <si>
    <t>D22, D23</t>
  </si>
  <si>
    <t>L52, L53</t>
  </si>
  <si>
    <t>L53</t>
  </si>
  <si>
    <t>L23</t>
  </si>
  <si>
    <t>D53</t>
  </si>
  <si>
    <t>D23</t>
  </si>
  <si>
    <t>Total number of frames:</t>
  </si>
  <si>
    <t>Type of frame:</t>
  </si>
  <si>
    <t># of drives installed:</t>
  </si>
  <si>
    <t>On Demand:</t>
  </si>
  <si>
    <t>I/O Station:</t>
  </si>
  <si>
    <t>LTODframes</t>
  </si>
  <si>
    <t>LTOLframes</t>
  </si>
  <si>
    <t xml:space="preserve">- The cell marked as </t>
  </si>
  <si>
    <t>- Click and select the correct number of frames ---&gt;</t>
  </si>
  <si>
    <t>- Click and select the correct value for L frame ---&gt;</t>
  </si>
  <si>
    <t>10 I/0 Station</t>
  </si>
  <si>
    <t xml:space="preserve">- The result will be displayed in </t>
  </si>
  <si>
    <t xml:space="preserve"> as following.</t>
  </si>
  <si>
    <t>- Total available capacity, for each cartridge format, in TB.</t>
  </si>
  <si>
    <t>- Total number of available slots, LTO and/or 3592.</t>
  </si>
  <si>
    <t>- The number of available slots per frame.</t>
  </si>
  <si>
    <t>- When the color of input area is changed as RED, it indicates it has an error. It should be corrected.</t>
  </si>
  <si>
    <t>10(LTO)/16(3592) I/O slots</t>
  </si>
  <si>
    <t>10(LTO) I/O slots</t>
  </si>
  <si>
    <t>30(LTO) I/O slots</t>
  </si>
  <si>
    <t>16(LTO)/16(3592) I/O slots</t>
  </si>
  <si>
    <t>16(3592) I/O slots</t>
  </si>
  <si>
    <t>32(3592) I/O slots</t>
  </si>
  <si>
    <t>16(3592)/16(LTO) I/O slots</t>
  </si>
  <si>
    <t>16(LTO) I/O slots</t>
  </si>
  <si>
    <t>32(LTO) I/O slots</t>
  </si>
  <si>
    <t>TSL53ODS</t>
  </si>
  <si>
    <t>TSL53ODM</t>
  </si>
  <si>
    <t>TSL52ODS</t>
  </si>
  <si>
    <t>TSL52ODM</t>
  </si>
  <si>
    <t>TSL23ODS</t>
  </si>
  <si>
    <t>TSL23ODM</t>
  </si>
  <si>
    <t>TSL22ODS</t>
  </si>
  <si>
    <t>TSL22ODM</t>
  </si>
  <si>
    <t>TSL32ODS</t>
  </si>
  <si>
    <t>TSL32ODM</t>
  </si>
  <si>
    <t>TSL53EntryIO</t>
  </si>
  <si>
    <t>TSL53IntermediateIO</t>
  </si>
  <si>
    <t>TSL53FullIO</t>
  </si>
  <si>
    <t>TSL53FullIOMixed</t>
  </si>
  <si>
    <t>TSL52EntryIO</t>
  </si>
  <si>
    <t>TSL52IntermediateIO</t>
  </si>
  <si>
    <t>TSL52FullIO</t>
  </si>
  <si>
    <t>TSL52FullIOMixed</t>
  </si>
  <si>
    <t>TSL23EntryIO</t>
  </si>
  <si>
    <t>TSL23IntermediateIO</t>
  </si>
  <si>
    <t>TSL23FullIO</t>
  </si>
  <si>
    <t>TSL23FullIOMixed</t>
  </si>
  <si>
    <t>TSL22EntryIO</t>
  </si>
  <si>
    <t>TSL22IntermediateIO</t>
  </si>
  <si>
    <t>TSL22FullIO</t>
  </si>
  <si>
    <t>TSL22FullIOMixed</t>
  </si>
  <si>
    <t>TSL32NO_Capacity_ExpansionIO</t>
  </si>
  <si>
    <t>TSL32Capacity_ExpansionIO</t>
  </si>
  <si>
    <t>TSL32Capacity_ExpansionIOMixed</t>
  </si>
  <si>
    <t>xxxxxxL4</t>
  </si>
  <si>
    <t xml:space="preserve">R </t>
  </si>
  <si>
    <t>ind_mixed_media</t>
  </si>
  <si>
    <t>Yes or No</t>
  </si>
  <si>
    <t>4 I/O station</t>
  </si>
  <si>
    <t>TSDframeIOStation</t>
  </si>
  <si>
    <t>1: may have I/O station --&gt;</t>
  </si>
  <si>
    <t>Frame # of D frame   --&gt;</t>
  </si>
  <si>
    <t>1: Installed, 0: Not Installed-&gt;</t>
  </si>
  <si>
    <t>Total # of D frames with 4 I/O Station</t>
  </si>
  <si>
    <t>Max  # of D frames with 4 I/O Station</t>
  </si>
  <si>
    <t/>
  </si>
  <si>
    <t>D52, D53</t>
  </si>
  <si>
    <t>TSDframeNOIO</t>
  </si>
  <si>
    <t>OR</t>
  </si>
  <si>
    <t xml:space="preserve"> is an input cell, when you click the input cell, you will get the selection list.</t>
  </si>
  <si>
    <t>S10</t>
  </si>
  <si>
    <t>D10</t>
  </si>
  <si>
    <t>I/O Station</t>
  </si>
  <si>
    <t>D24</t>
  </si>
  <si>
    <t>D12</t>
  </si>
  <si>
    <t>D14</t>
  </si>
  <si>
    <t>1 - 2</t>
  </si>
  <si>
    <t>3 - 4</t>
  </si>
  <si>
    <t>5 - 6</t>
  </si>
  <si>
    <t>L10, L12, L14</t>
  </si>
  <si>
    <t>with Dual Gripper</t>
  </si>
  <si>
    <t>without            Dual Gripper</t>
  </si>
  <si>
    <t># of 3590 installed</t>
  </si>
  <si>
    <t># of 3592 installed</t>
  </si>
  <si>
    <t>Frames for 3590 tape drives</t>
  </si>
  <si>
    <t>Frames for 3592 tape drives</t>
  </si>
  <si>
    <t>3494 ATL</t>
  </si>
  <si>
    <t>TS3500</t>
  </si>
  <si>
    <t># of tape drives</t>
  </si>
  <si>
    <t>I/O slots</t>
  </si>
  <si>
    <t>Ultrium 4</t>
  </si>
  <si>
    <t>Ultrium 3</t>
  </si>
  <si>
    <t>Ultrium 2</t>
  </si>
  <si>
    <t>Ultrium 1</t>
  </si>
  <si>
    <t># of expansions</t>
  </si>
  <si>
    <t>NUM0</t>
  </si>
  <si>
    <t>NUM1</t>
  </si>
  <si>
    <t>NUM2</t>
  </si>
  <si>
    <t>NUM3</t>
  </si>
  <si>
    <t>NUM4</t>
  </si>
  <si>
    <t>NUM0TO4</t>
  </si>
  <si>
    <t>NUM0TO3</t>
  </si>
  <si>
    <t>NUM0TO2</t>
  </si>
  <si>
    <t>NUM0TO1</t>
  </si>
  <si>
    <t>NUM1TO2</t>
  </si>
  <si>
    <t>IOslotsBASEwEXP</t>
  </si>
  <si>
    <t>IOslotsBASEONLY</t>
  </si>
  <si>
    <t>indirectIOTS3310</t>
  </si>
  <si>
    <t>IOslotsEXP</t>
  </si>
  <si>
    <t>indirectCODTS3310</t>
  </si>
  <si>
    <t>NUM0TO0</t>
  </si>
  <si>
    <t>NUM0OR3</t>
  </si>
  <si>
    <t>TotalCapacityComp</t>
  </si>
  <si>
    <t>LTO slots available</t>
  </si>
  <si>
    <t>3592 slots available</t>
  </si>
  <si>
    <t>slots in total</t>
  </si>
  <si>
    <t xml:space="preserve">Native </t>
  </si>
  <si>
    <t>3:1 compressed</t>
  </si>
  <si>
    <t>4:1 compressed</t>
  </si>
  <si>
    <t>2:1 compressed</t>
  </si>
  <si>
    <t>JB/JX</t>
  </si>
  <si>
    <t>JA/JW</t>
  </si>
  <si>
    <t>JJ/JR</t>
  </si>
  <si>
    <t>Cartridge Type</t>
  </si>
  <si>
    <t>3592 E06</t>
  </si>
  <si>
    <t>TS1120 (3592-E05)</t>
  </si>
  <si>
    <t>L5B</t>
  </si>
  <si>
    <t>E9U</t>
  </si>
  <si>
    <t xml:space="preserve">TS3100 (3573-L2U) </t>
  </si>
  <si>
    <t>TS3200 (3573-L4U)</t>
  </si>
  <si>
    <t>Available # of slots/Capacity</t>
  </si>
  <si>
    <t>TS1130 (3592-E06)</t>
  </si>
  <si>
    <t># of S24 installed:</t>
  </si>
  <si>
    <t># of S54 installed:</t>
  </si>
  <si>
    <t>S24</t>
  </si>
  <si>
    <t>S54</t>
  </si>
  <si>
    <t>Library frames</t>
  </si>
  <si>
    <t>HD frames</t>
  </si>
  <si>
    <t>Data frames</t>
  </si>
  <si>
    <t>Base</t>
  </si>
  <si>
    <t>Capacity Option</t>
  </si>
  <si>
    <t>DandS24frames</t>
  </si>
  <si>
    <t>DandS54frames</t>
  </si>
  <si>
    <t>DandAllHDframes</t>
  </si>
  <si>
    <t># of 3592 drives installed:</t>
  </si>
  <si>
    <t># of LTO drives installed:</t>
  </si>
  <si>
    <t>Eff. # of frames</t>
  </si>
  <si>
    <t>01</t>
  </si>
  <si>
    <t>02</t>
  </si>
  <si>
    <t>03</t>
  </si>
  <si>
    <t>04</t>
  </si>
  <si>
    <t>05</t>
  </si>
  <si>
    <t>06</t>
  </si>
  <si>
    <t>07</t>
  </si>
  <si>
    <t>08</t>
  </si>
  <si>
    <t>09</t>
  </si>
  <si>
    <t>10</t>
  </si>
  <si>
    <t>11</t>
  </si>
  <si>
    <t>12</t>
  </si>
  <si>
    <t>13</t>
  </si>
  <si>
    <t>14</t>
  </si>
  <si>
    <t>15</t>
  </si>
  <si>
    <t>16</t>
  </si>
  <si>
    <t>NumToChar</t>
  </si>
  <si>
    <t>FType02to</t>
  </si>
  <si>
    <t>DrNum02to</t>
  </si>
  <si>
    <t>NumberDrives0</t>
  </si>
  <si>
    <t>Sx4frameOD</t>
  </si>
  <si>
    <t>TS3310 (3576-L5B/E9U)</t>
  </si>
  <si>
    <t>indrectNmDrArray</t>
  </si>
  <si>
    <t>indirectioDframeArray</t>
  </si>
  <si>
    <t>indirectDSframeArray</t>
  </si>
  <si>
    <t>1, 2, 3: may have HD frame - 0: Non, 1:S24, 2:S54, 3:Both</t>
  </si>
  <si>
    <t>1: S24 could be added:</t>
  </si>
  <si>
    <t>1: S54 could be added:</t>
  </si>
  <si>
    <t>Installed</t>
  </si>
  <si>
    <t>(Note) For a mixed media library, the first D frame which is different from the installed Lxx frame of a mixed media library will have one less storage slot to accommodate a diagnostic cartridge.</t>
  </si>
  <si>
    <t>HDlibraryLMcode</t>
    <phoneticPr fontId="2" type="noConversion"/>
  </si>
  <si>
    <t>(0: No HD frame, 1: S24, 2: S54, 3: All HD frame)</t>
    <phoneticPr fontId="2" type="noConversion"/>
  </si>
  <si>
    <t>Could it be a HD frame?</t>
    <phoneticPr fontId="2" type="noConversion"/>
  </si>
  <si>
    <t>DandALLHDframes</t>
  </si>
  <si>
    <t>indirectDSframesList</t>
    <phoneticPr fontId="2" type="noConversion"/>
  </si>
  <si>
    <t># of old frames</t>
    <phoneticPr fontId="2" type="noConversion"/>
  </si>
  <si>
    <t>Firmware level &lt; 9500</t>
    <phoneticPr fontId="2" type="noConversion"/>
  </si>
  <si>
    <t>Firmware level &gt;= 9500</t>
    <phoneticPr fontId="2" type="noConversion"/>
  </si>
  <si>
    <t>Firmware level &gt;= 9500</t>
  </si>
  <si>
    <t xml:space="preserve">I/O slot </t>
    <phoneticPr fontId="2" type="noConversion"/>
  </si>
  <si>
    <t># of tape drives</t>
    <phoneticPr fontId="2" type="noConversion"/>
  </si>
  <si>
    <t>NUMDR3310</t>
    <phoneticPr fontId="2" type="noConversion"/>
  </si>
  <si>
    <t>NUMDR3320</t>
    <phoneticPr fontId="2" type="noConversion"/>
  </si>
  <si>
    <t>1 FH</t>
    <phoneticPr fontId="2" type="noConversion"/>
  </si>
  <si>
    <t>1 HH</t>
    <phoneticPr fontId="2" type="noConversion"/>
  </si>
  <si>
    <t>2 HH</t>
    <phoneticPr fontId="2" type="noConversion"/>
  </si>
  <si>
    <t>2 FH</t>
    <phoneticPr fontId="2" type="noConversion"/>
  </si>
  <si>
    <t>3 HH</t>
    <phoneticPr fontId="2" type="noConversion"/>
  </si>
  <si>
    <t>4 HH</t>
    <phoneticPr fontId="2" type="noConversion"/>
  </si>
  <si>
    <t>1 FH, 1 HH</t>
    <phoneticPr fontId="2" type="noConversion"/>
  </si>
  <si>
    <t>1 FH, 2 HH</t>
    <phoneticPr fontId="2" type="noConversion"/>
  </si>
  <si>
    <r>
      <t>FH</t>
    </r>
    <r>
      <rPr>
        <b/>
        <sz val="8"/>
        <rFont val="Arial"/>
        <family val="2"/>
      </rPr>
      <t xml:space="preserve">: Full-high tape drive, </t>
    </r>
    <r>
      <rPr>
        <b/>
        <sz val="10"/>
        <rFont val="Arial"/>
        <family val="2"/>
      </rPr>
      <t>HH</t>
    </r>
    <r>
      <rPr>
        <b/>
        <sz val="8"/>
        <rFont val="Arial"/>
        <family val="2"/>
      </rPr>
      <t>: Half-high tape drive</t>
    </r>
    <phoneticPr fontId="2" type="noConversion"/>
  </si>
  <si>
    <t>2 HH</t>
  </si>
  <si>
    <r>
      <t>U4</t>
    </r>
    <r>
      <rPr>
        <b/>
        <vertAlign val="superscript"/>
        <sz val="8"/>
        <rFont val="Arial"/>
        <family val="2"/>
      </rPr>
      <t>4</t>
    </r>
  </si>
  <si>
    <r>
      <t>U3</t>
    </r>
    <r>
      <rPr>
        <b/>
        <vertAlign val="superscript"/>
        <sz val="8"/>
        <rFont val="Arial"/>
        <family val="2"/>
      </rPr>
      <t>3</t>
    </r>
  </si>
  <si>
    <r>
      <t>U2</t>
    </r>
    <r>
      <rPr>
        <b/>
        <vertAlign val="superscript"/>
        <sz val="8"/>
        <rFont val="Arial"/>
        <family val="2"/>
      </rPr>
      <t>2</t>
    </r>
  </si>
  <si>
    <r>
      <t>U1</t>
    </r>
    <r>
      <rPr>
        <b/>
        <vertAlign val="superscript"/>
        <sz val="8"/>
        <rFont val="Arial"/>
        <family val="2"/>
      </rPr>
      <t>1</t>
    </r>
  </si>
  <si>
    <t>CLNIxxL1</t>
    <phoneticPr fontId="2" type="noConversion"/>
  </si>
  <si>
    <t>Cartridge Type</t>
    <phoneticPr fontId="2" type="noConversion"/>
  </si>
  <si>
    <t>Ultrium 1 Data</t>
    <phoneticPr fontId="2" type="noConversion"/>
  </si>
  <si>
    <t>Ultrium 4 Data</t>
    <phoneticPr fontId="2" type="noConversion"/>
  </si>
  <si>
    <t>Ultrium 3 Data</t>
    <phoneticPr fontId="2" type="noConversion"/>
  </si>
  <si>
    <t>Ultrium 2 Data</t>
    <phoneticPr fontId="2" type="noConversion"/>
  </si>
  <si>
    <t>Ultrium 4 WORM</t>
    <phoneticPr fontId="2" type="noConversion"/>
  </si>
  <si>
    <t>Ultrium 3 WORM</t>
    <phoneticPr fontId="2" type="noConversion"/>
  </si>
  <si>
    <r>
      <t>Cleaning (</t>
    </r>
    <r>
      <rPr>
        <sz val="8"/>
        <rFont val="Arial"/>
        <family val="2"/>
      </rPr>
      <t>IBM Only</t>
    </r>
    <r>
      <rPr>
        <sz val="9"/>
        <rFont val="Arial"/>
        <family val="2"/>
      </rPr>
      <t>)</t>
    </r>
    <phoneticPr fontId="2" type="noConversion"/>
  </si>
  <si>
    <r>
      <t>Cleaning (</t>
    </r>
    <r>
      <rPr>
        <sz val="8"/>
        <rFont val="Arial"/>
        <family val="2"/>
      </rPr>
      <t>Universal</t>
    </r>
    <r>
      <rPr>
        <sz val="9"/>
        <rFont val="Arial"/>
        <family val="2"/>
      </rPr>
      <t>)</t>
    </r>
    <phoneticPr fontId="2" type="noConversion"/>
  </si>
  <si>
    <t>CLNUxxL1</t>
    <phoneticPr fontId="2" type="noConversion"/>
  </si>
  <si>
    <t>Ultrium 5 Data</t>
    <phoneticPr fontId="2" type="noConversion"/>
  </si>
  <si>
    <t>xxxxxxL5</t>
    <phoneticPr fontId="2" type="noConversion"/>
  </si>
  <si>
    <t>RW</t>
    <phoneticPr fontId="2" type="noConversion"/>
  </si>
  <si>
    <r>
      <t>U5</t>
    </r>
    <r>
      <rPr>
        <b/>
        <vertAlign val="superscript"/>
        <sz val="8"/>
        <rFont val="Arial"/>
        <family val="2"/>
      </rPr>
      <t>5</t>
    </r>
    <phoneticPr fontId="2" type="noConversion"/>
  </si>
  <si>
    <t>Ultrium 5 WORM</t>
    <phoneticPr fontId="2" type="noConversion"/>
  </si>
  <si>
    <t>Y</t>
    <phoneticPr fontId="2" type="noConversion"/>
  </si>
  <si>
    <t>Ultrium 5</t>
    <phoneticPr fontId="2" type="noConversion"/>
  </si>
  <si>
    <t>JC/JY</t>
    <phoneticPr fontId="2" type="noConversion"/>
  </si>
  <si>
    <t>N/S</t>
    <phoneticPr fontId="2" type="noConversion"/>
  </si>
  <si>
    <t>JK</t>
    <phoneticPr fontId="2" type="noConversion"/>
  </si>
  <si>
    <t>up to 200</t>
    <phoneticPr fontId="2" type="noConversion"/>
  </si>
  <si>
    <t>up to 160</t>
    <phoneticPr fontId="2" type="noConversion"/>
  </si>
  <si>
    <t>up to 150</t>
    <phoneticPr fontId="2" type="noConversion"/>
  </si>
  <si>
    <t>TS1140 (3592-E07)</t>
    <phoneticPr fontId="2" type="noConversion"/>
  </si>
  <si>
    <t>TS1120 (3592-E05)</t>
    <phoneticPr fontId="2" type="noConversion"/>
  </si>
  <si>
    <t>JA/JW</t>
    <phoneticPr fontId="2" type="noConversion"/>
  </si>
  <si>
    <t>E4</t>
    <phoneticPr fontId="2" type="noConversion"/>
  </si>
  <si>
    <t>E3</t>
    <phoneticPr fontId="2" type="noConversion"/>
  </si>
  <si>
    <t>E1</t>
    <phoneticPr fontId="2" type="noConversion"/>
  </si>
  <si>
    <t>LIB. Capacity (TB)</t>
    <phoneticPr fontId="2" type="noConversion"/>
  </si>
  <si>
    <t>Type</t>
    <phoneticPr fontId="2" type="noConversion"/>
  </si>
  <si>
    <t xml:space="preserve">3592 cartridge </t>
    <phoneticPr fontId="2" type="noConversion"/>
  </si>
  <si>
    <t>TS1130 (3592-E06/EU6)</t>
    <phoneticPr fontId="2" type="noConversion"/>
  </si>
  <si>
    <t>3592-J1A</t>
    <phoneticPr fontId="2" type="noConversion"/>
  </si>
  <si>
    <t>E2</t>
    <phoneticPr fontId="2" type="noConversion"/>
  </si>
  <si>
    <t>LTO Capacity (TB)</t>
    <phoneticPr fontId="2" type="noConversion"/>
  </si>
  <si>
    <t>3592 Capacity (TB)</t>
    <phoneticPr fontId="2" type="noConversion"/>
  </si>
  <si>
    <t>Cart. Capacity (Native, GB)</t>
    <phoneticPr fontId="2" type="noConversion"/>
  </si>
  <si>
    <t>Advanced Economy</t>
    <phoneticPr fontId="34" type="noConversion"/>
  </si>
  <si>
    <r>
      <t xml:space="preserve">Extended Length </t>
    </r>
    <r>
      <rPr>
        <sz val="10"/>
        <rFont val="Arial"/>
        <family val="2"/>
      </rPr>
      <t>Data/WORM</t>
    </r>
    <phoneticPr fontId="34" type="noConversion"/>
  </si>
  <si>
    <t>Standard Length Data/WORM</t>
    <phoneticPr fontId="34" type="noConversion"/>
  </si>
  <si>
    <t>Economy Data/WORM</t>
    <phoneticPr fontId="34" type="noConversion"/>
  </si>
  <si>
    <t>JC/JY</t>
    <phoneticPr fontId="34" type="noConversion"/>
  </si>
  <si>
    <t>JK</t>
    <phoneticPr fontId="34" type="noConversion"/>
  </si>
  <si>
    <t>Advanced Data/WORM</t>
    <phoneticPr fontId="34" type="noConversion"/>
  </si>
  <si>
    <t>E4</t>
    <phoneticPr fontId="34" type="noConversion"/>
  </si>
  <si>
    <t>E3</t>
    <phoneticPr fontId="34" type="noConversion"/>
  </si>
  <si>
    <t>E2</t>
    <phoneticPr fontId="34" type="noConversion"/>
  </si>
  <si>
    <t>E1</t>
    <phoneticPr fontId="34" type="noConversion"/>
  </si>
  <si>
    <t>RW</t>
    <phoneticPr fontId="34" type="noConversion"/>
  </si>
  <si>
    <t>N/A</t>
    <phoneticPr fontId="34" type="noConversion"/>
  </si>
  <si>
    <t>N</t>
    <phoneticPr fontId="34" type="noConversion"/>
  </si>
  <si>
    <t>4 HH</t>
  </si>
  <si>
    <t>Ultrium 6 Data</t>
    <phoneticPr fontId="2" type="noConversion"/>
  </si>
  <si>
    <t>xxxxxxL6</t>
    <phoneticPr fontId="2" type="noConversion"/>
  </si>
  <si>
    <t>Ultrium 6</t>
    <phoneticPr fontId="2" type="noConversion"/>
  </si>
  <si>
    <t>Ultrium 6 WORM</t>
    <phoneticPr fontId="2" type="noConversion"/>
  </si>
  <si>
    <t>2.5: 1 compressed</t>
  </si>
  <si>
    <t>xxxxxxL7</t>
  </si>
  <si>
    <t>Ultrium 7 Data</t>
  </si>
  <si>
    <t>Ultrium 7 WORM</t>
  </si>
  <si>
    <r>
      <t>U6</t>
    </r>
    <r>
      <rPr>
        <b/>
        <vertAlign val="superscript"/>
        <sz val="8"/>
        <rFont val="Arial"/>
        <family val="2"/>
      </rPr>
      <t>6</t>
    </r>
  </si>
  <si>
    <r>
      <t>U7</t>
    </r>
    <r>
      <rPr>
        <b/>
        <vertAlign val="superscript"/>
        <sz val="8"/>
        <rFont val="Arial"/>
        <family val="2"/>
      </rPr>
      <t>7</t>
    </r>
  </si>
  <si>
    <t>JD/JZ</t>
  </si>
  <si>
    <t>JL</t>
  </si>
  <si>
    <t>Enterprise Advanced Economy</t>
  </si>
  <si>
    <t>Enterprise Advanced Data/WORM</t>
  </si>
  <si>
    <t>E5</t>
  </si>
  <si>
    <t>Ultrium 5</t>
  </si>
  <si>
    <t>Ultrium 6</t>
  </si>
  <si>
    <t>Ultrium 7</t>
  </si>
  <si>
    <t>TS1150 (3592-E08)</t>
  </si>
  <si>
    <t>NumberFrames4500</t>
  </si>
  <si>
    <t>TS4500LibraryLMcode</t>
  </si>
  <si>
    <t>Firmware level &gt;= R2</t>
  </si>
  <si>
    <t>TS4500Lframes</t>
  </si>
  <si>
    <t>* LTO L-Frames</t>
  </si>
  <si>
    <t>* 3592 L-Frames</t>
  </si>
  <si>
    <t>L55</t>
  </si>
  <si>
    <t>L25</t>
  </si>
  <si>
    <t>* LTO D-Frames</t>
  </si>
  <si>
    <t>* 3592 D-frames</t>
  </si>
  <si>
    <t>* LTO Frames</t>
  </si>
  <si>
    <t>* 3592 Frames</t>
  </si>
  <si>
    <t xml:space="preserve">* HD Frames </t>
  </si>
  <si>
    <t>Firmware level &lt;= R1.1</t>
  </si>
  <si>
    <t>Type of slots</t>
  </si>
  <si>
    <t># of slots per a frame</t>
  </si>
  <si>
    <t>Total # of slots</t>
  </si>
  <si>
    <t>Type of frame</t>
  </si>
  <si>
    <t>Total number of frames</t>
  </si>
  <si>
    <t>Library Firmware Level</t>
  </si>
  <si>
    <t>* LTO L-Frame</t>
  </si>
  <si>
    <t>* 3592 L-Frame</t>
  </si>
  <si>
    <t>TS4500NumberDrivesDFrame</t>
  </si>
  <si>
    <t>D55</t>
  </si>
  <si>
    <t>D25</t>
  </si>
  <si>
    <t>S25</t>
  </si>
  <si>
    <t>* LTO D-Frame</t>
  </si>
  <si>
    <t>* 3592 D-Frame</t>
  </si>
  <si>
    <t xml:space="preserve">* LTO HD-Frames </t>
  </si>
  <si>
    <t>S55</t>
  </si>
  <si>
    <t>* 3592 HD-Frame</t>
  </si>
  <si>
    <t>DandS25frames</t>
  </si>
  <si>
    <t>DandS55frames</t>
  </si>
  <si>
    <t>HD</t>
  </si>
  <si>
    <t>TSL55ODS</t>
  </si>
  <si>
    <t>TSL55ODM</t>
  </si>
  <si>
    <t>TSL55EntryIO</t>
  </si>
  <si>
    <t>TSL55IntermediateIO</t>
  </si>
  <si>
    <t>TSL25EntryIO</t>
  </si>
  <si>
    <t>TSL25IntermediateIO</t>
  </si>
  <si>
    <t>Sx5frameOD</t>
  </si>
  <si>
    <t>LibraryLMcode4500</t>
  </si>
  <si>
    <t>TSL25ODS</t>
  </si>
  <si>
    <t>TSL25ODM</t>
  </si>
  <si>
    <t>indirectod4500</t>
  </si>
  <si>
    <t>indirectio4500</t>
  </si>
  <si>
    <t>TSL25HDIO</t>
  </si>
  <si>
    <t>TSL25HDIOMixed</t>
  </si>
  <si>
    <t>TSL55HDIO</t>
  </si>
  <si>
    <t>TSL55HDIOMixed</t>
  </si>
  <si>
    <t>indirectDSframeArray4500</t>
  </si>
  <si>
    <t>LTODframes4500</t>
  </si>
  <si>
    <t>indirectioDframeArray4500</t>
  </si>
  <si>
    <t>TSDframeIOStation4500</t>
  </si>
  <si>
    <t>TSDframeNOIO4500</t>
  </si>
  <si>
    <t>NumberDrives04500</t>
  </si>
  <si>
    <t>NumToChar4500</t>
  </si>
  <si>
    <t>17</t>
  </si>
  <si>
    <t>18</t>
  </si>
  <si>
    <t>F4500Type02to</t>
  </si>
  <si>
    <t>Dr4500Num02to</t>
  </si>
  <si>
    <t>indirectDSframesList4500</t>
  </si>
  <si>
    <t>NumberDrivesL4500</t>
  </si>
  <si>
    <t>TS4500</t>
  </si>
  <si>
    <t>Max  # of D frames with 2 I/O Station</t>
  </si>
  <si>
    <t>(0: No HD frame, 1: S25, 2: S55, 3: All HD frame)</t>
  </si>
  <si>
    <t>1: S25 could be added:</t>
  </si>
  <si>
    <t>1: S55 could be added:</t>
  </si>
  <si>
    <t># of S25 installed:</t>
  </si>
  <si>
    <t># of S55 installed:</t>
  </si>
  <si>
    <t>indirectNmDrArray4500</t>
  </si>
  <si>
    <t>NumberDrivesD4500</t>
  </si>
  <si>
    <t>LTOLFrames4500</t>
  </si>
  <si>
    <t xml:space="preserve">* LTO D-Frames </t>
  </si>
  <si>
    <t>Frame # of L/D frame   --&gt;</t>
  </si>
  <si>
    <t>NumberFrames4500limited</t>
  </si>
  <si>
    <t>NumFram4500</t>
  </si>
  <si>
    <t>indirectio4500Frames</t>
  </si>
  <si>
    <t>TSD55HDIO</t>
  </si>
  <si>
    <t>TSD55HDIOMixed</t>
  </si>
  <si>
    <t>TSD25HDIO</t>
  </si>
  <si>
    <t>TSD25HDIOMixed</t>
  </si>
  <si>
    <t>UNUSED</t>
  </si>
  <si>
    <t>indirectod4500Frames</t>
  </si>
  <si>
    <t>TSD55ODM</t>
  </si>
  <si>
    <t>TSD25ODM</t>
  </si>
  <si>
    <t>Sx5frameNOIO</t>
  </si>
  <si>
    <t>TSS55ODM</t>
  </si>
  <si>
    <t>TSS25ODM</t>
  </si>
  <si>
    <t>2x I/O</t>
  </si>
  <si>
    <t>2x I/O (36 LTO/32 3592)</t>
  </si>
  <si>
    <t>TSL55BaseIO</t>
  </si>
  <si>
    <t>TSL25BaseIO</t>
  </si>
  <si>
    <t>TSD55BaseIO</t>
  </si>
  <si>
    <t>TSD25BaseIO</t>
  </si>
  <si>
    <t>TSS55BaseIO</t>
  </si>
  <si>
    <t>TSS25BaseIO</t>
  </si>
  <si>
    <t>TSS55HDIO</t>
  </si>
  <si>
    <t>TSS25HDIO</t>
  </si>
  <si>
    <t>Lx5frameIO</t>
  </si>
  <si>
    <t>down</t>
  </si>
  <si>
    <t>right</t>
  </si>
  <si>
    <t>Total # of frames with 2 I/O Station</t>
  </si>
  <si>
    <t># of counted IO Stations</t>
  </si>
  <si>
    <t># of counted L-Frames</t>
  </si>
  <si>
    <t># of total drives try to configure (max 192 supported)</t>
  </si>
  <si>
    <t>Frame Position 1</t>
  </si>
  <si>
    <t>Frame Position 2+</t>
  </si>
  <si>
    <t>S25 Frame Position 1</t>
  </si>
  <si>
    <t>S25 Frame Position 2+</t>
  </si>
  <si>
    <t>S55 Frame Position 1</t>
  </si>
  <si>
    <t>S55 Frame Position 2+</t>
  </si>
  <si>
    <t>D25 Frame Position 1</t>
  </si>
  <si>
    <t>D25 Frame Position 2+</t>
  </si>
  <si>
    <t>D55 Frame Position 1</t>
  </si>
  <si>
    <t>D55 Frame Position 2+</t>
  </si>
  <si>
    <t>HD w/ I/O</t>
  </si>
  <si>
    <t>HD w/o I/O</t>
  </si>
  <si>
    <t>1st Lframe Row Index</t>
  </si>
  <si>
    <t>1st Lframe Column Index</t>
  </si>
  <si>
    <t>I/O vs. w/o I/O</t>
  </si>
  <si>
    <t># of total supported drives</t>
  </si>
  <si>
    <t>Written by stefan.neff@de.ibm.com</t>
  </si>
  <si>
    <t># of counted D-Frames</t>
  </si>
  <si>
    <t>Max  # of D frames</t>
  </si>
  <si>
    <t># of total drives try to configure</t>
  </si>
  <si>
    <t>more2LFrames</t>
  </si>
  <si>
    <t>morexDFrames</t>
  </si>
  <si>
    <t>noLFrame</t>
  </si>
  <si>
    <t>TopRack</t>
  </si>
  <si>
    <t>POSITION 1</t>
  </si>
  <si>
    <t>POSITION 2+</t>
  </si>
  <si>
    <t>Weight of Frames (kg, max. incl. opt. TopRack)</t>
  </si>
  <si>
    <t>noDrive4500</t>
  </si>
  <si>
    <t>Drive-capable expansion frames</t>
  </si>
  <si>
    <t>Storage-only expansion frames</t>
  </si>
  <si>
    <t xml:space="preserve">* S Frames </t>
  </si>
  <si>
    <t>LandDandAllSframes4500</t>
  </si>
  <si>
    <t>DandALLSframes4500</t>
  </si>
  <si>
    <t xml:space="preserve">* LTO S-Frames </t>
  </si>
  <si>
    <t>* 3592 S-Frame</t>
  </si>
  <si>
    <t xml:space="preserve">* 3592 S-Frames </t>
  </si>
  <si>
    <t>DandAllSframes4500</t>
  </si>
  <si>
    <t>LandDandAllSframes4500select</t>
  </si>
  <si>
    <t>EC as Service Bay B</t>
  </si>
  <si>
    <t>EC as Service Bay</t>
  </si>
  <si>
    <t>TS4500HA</t>
  </si>
  <si>
    <t>FirstFrameLandHA</t>
  </si>
  <si>
    <t>no HA</t>
  </si>
  <si>
    <t>TS4500FrameTypeAtPosition</t>
  </si>
  <si>
    <t>LastFrameS54S24</t>
  </si>
  <si>
    <t>FirstFrameHAhasIO</t>
  </si>
  <si>
    <t>NumberDrivesSVBA4500</t>
  </si>
  <si>
    <t>NumberDrivesSVBB4500</t>
  </si>
  <si>
    <t>Firmware Level &lt;= R1.1</t>
  </si>
  <si>
    <t>Firmware Level &gt;= R2</t>
  </si>
  <si>
    <t>Flex Track Cable Length Options</t>
  </si>
  <si>
    <t xml:space="preserve">Adjustment for Maximum Dual-access Licensed Capacity </t>
  </si>
  <si>
    <t>Model</t>
  </si>
  <si>
    <t>D25 w/o I/O</t>
  </si>
  <si>
    <t>D25 w/ I/O</t>
  </si>
  <si>
    <t>D55 w/o I/O</t>
  </si>
  <si>
    <t>D55 w/ I/O</t>
  </si>
  <si>
    <t>Service Bay A</t>
  </si>
  <si>
    <t>Service Bay B</t>
  </si>
  <si>
    <t>n/a</t>
  </si>
  <si>
    <t>What Frame ?</t>
  </si>
  <si>
    <t>I/O ?</t>
  </si>
  <si>
    <t>LTO Adjustment =</t>
  </si>
  <si>
    <t>3592 Adjustment =</t>
  </si>
  <si>
    <t>Total Adjustment =</t>
  </si>
  <si>
    <t>Total Number of Library frames</t>
  </si>
  <si>
    <t>Type of Frame</t>
  </si>
  <si>
    <t>Weight of Frame (max. kg)</t>
  </si>
  <si>
    <t>Type of Slots</t>
  </si>
  <si>
    <t>HA</t>
  </si>
  <si>
    <t>HA with maximum capacity (default)</t>
  </si>
  <si>
    <t>HA with overflow capacity</t>
  </si>
  <si>
    <t>HA without elastic capacity</t>
  </si>
  <si>
    <t>TS4500HAChoice</t>
  </si>
  <si>
    <t>Frame Type ?</t>
  </si>
  <si>
    <t>Media Type ?</t>
  </si>
  <si>
    <t>I/O Station ?</t>
  </si>
  <si>
    <t>Max possible slots:</t>
  </si>
  <si>
    <t># of Licensed Slots per Frame</t>
  </si>
  <si>
    <t>Max possible slots (as if all frames include HD CoD)</t>
  </si>
  <si>
    <t>MDAC Correction Calculation using the table above for first and last frame</t>
  </si>
  <si>
    <t>Max possible LTO slots (as if all frames include HD CoD)</t>
  </si>
  <si>
    <t>Max possible 3592 slots (as if all frames include HD CoD)</t>
  </si>
  <si>
    <t>MDAC Correction Calculation using the table above for first and last frame for LTO</t>
  </si>
  <si>
    <t>MDAC Correction Calculation using the table above for first and last frame for 3592</t>
  </si>
  <si>
    <t>For LTO EC=TLC-MDAC (if EC &lt; 0, then EC=0)</t>
  </si>
  <si>
    <t>For 3592 EC=TLC-MDAC (if EC &lt; 0, then EC=0)</t>
  </si>
  <si>
    <t>% Value EC vs. TLC</t>
  </si>
  <si>
    <t>https://support.office.com/de-de/article/Sperren-von-Zellen-als-Schutz-in-Excel-2016-f%C3%BCr-Windows-cb7835f6-9c37-4161-bb53-d1c410acaf21</t>
  </si>
  <si>
    <t>How to hide cells, sheets and lock this file with password "pc4fun" ?</t>
  </si>
  <si>
    <t>2 or 4 I/O station</t>
  </si>
  <si>
    <t>- Under the proper condition, D23 or D53 can have 4 I/O stations. D25, D55 can have 2 I/O Stations.</t>
  </si>
  <si>
    <t>&lt;--- Choose if you plan with HA or non-HA</t>
  </si>
  <si>
    <t>- Click and select the correct value for D, S and L-frames ---&gt;</t>
  </si>
  <si>
    <t>TLC LTO</t>
  </si>
  <si>
    <t>TLC JAG</t>
  </si>
  <si>
    <t>TLC TOT</t>
  </si>
  <si>
    <t>Total Library Reported Capacity</t>
  </si>
  <si>
    <t>LTO (licensed) slots</t>
  </si>
  <si>
    <t>3592 (licensed) slots</t>
  </si>
  <si>
    <t>(licensed) slots</t>
  </si>
  <si>
    <t>2) Hide unwanted sheets via: right click on sheet tab and use "Hide", OR via HOME, CELLS, FORMAT</t>
  </si>
  <si>
    <t>Cart. Capacity   (Native, GB)</t>
  </si>
  <si>
    <t>NumberDrivesL4500, L steht hier im Sinne von "left", da das most-left Frame nur max. 12 Laufwerke haben kann (non HA)</t>
  </si>
  <si>
    <t>bei HA, most right D-Frame max. 8 Laufwerke</t>
  </si>
  <si>
    <t>bei HA, most left D-Frame max. 4 Laufwerke</t>
  </si>
  <si>
    <t>L3A</t>
  </si>
  <si>
    <t>E3A</t>
  </si>
  <si>
    <t>NUM5</t>
  </si>
  <si>
    <t>NUM6</t>
  </si>
  <si>
    <t>indirectCODTS4300</t>
  </si>
  <si>
    <t>indirectIOTS4300</t>
  </si>
  <si>
    <t>NUM1TO3</t>
  </si>
  <si>
    <r>
      <t xml:space="preserve">TS3400 (3577-L5U) </t>
    </r>
    <r>
      <rPr>
        <b/>
        <vertAlign val="superscript"/>
        <sz val="10"/>
        <color rgb="FFFF0000"/>
        <rFont val="Arial"/>
        <family val="2"/>
      </rPr>
      <t>*</t>
    </r>
  </si>
  <si>
    <t>LIB. Capacity       (TB)</t>
  </si>
  <si>
    <t>xxxxxxL8</t>
  </si>
  <si>
    <r>
      <t>U8</t>
    </r>
    <r>
      <rPr>
        <b/>
        <vertAlign val="superscript"/>
        <sz val="8"/>
        <rFont val="Arial"/>
        <family val="2"/>
      </rPr>
      <t>8</t>
    </r>
  </si>
  <si>
    <t>https://en.wikipedia.org/wiki/Linear_Tape-Open</t>
  </si>
  <si>
    <t>https://de.wikipedia.org/wiki/Linear_Tape_Open</t>
  </si>
  <si>
    <r>
      <rPr>
        <b/>
        <sz val="10"/>
        <rFont val="Arial"/>
        <family val="2"/>
      </rPr>
      <t>Reference:</t>
    </r>
    <r>
      <rPr>
        <sz val="10"/>
        <rFont val="Arial"/>
        <family val="2"/>
      </rPr>
      <t xml:space="preserve"> </t>
    </r>
  </si>
  <si>
    <t>Ultrium 8 Data</t>
  </si>
  <si>
    <t>Ultrium 8 WORM</t>
  </si>
  <si>
    <t>Ultrium 8</t>
  </si>
  <si>
    <t>Native Capacity (TB)</t>
  </si>
  <si>
    <t>xxxxxxLY</t>
  </si>
  <si>
    <t>xxxxxxLX</t>
  </si>
  <si>
    <t>xxxxxxLW</t>
  </si>
  <si>
    <t>xxxxxxLV</t>
  </si>
  <si>
    <t>xxxxxxLU</t>
  </si>
  <si>
    <t>xxxxxxM8</t>
  </si>
  <si>
    <t>Ultrium 8                     L7-M8</t>
  </si>
  <si>
    <t>LTO Library Capacity (TB)</t>
  </si>
  <si>
    <t>Ultrium 8      12TB</t>
  </si>
  <si>
    <t>Ultrium 7                           6TB</t>
  </si>
  <si>
    <t>Ultrium 6           2,5TB</t>
  </si>
  <si>
    <t>Ultrium 5           1,5TB</t>
  </si>
  <si>
    <t>3592 Library Capacity (TB)</t>
  </si>
  <si>
    <r>
      <t xml:space="preserve">Ultrium 8                     </t>
    </r>
    <r>
      <rPr>
        <i/>
        <sz val="10"/>
        <color indexed="10"/>
        <rFont val="Arial"/>
        <family val="2"/>
      </rPr>
      <t>L7-M8</t>
    </r>
    <r>
      <rPr>
        <sz val="10"/>
        <color indexed="10"/>
        <rFont val="Arial"/>
        <family val="2"/>
      </rPr>
      <t xml:space="preserve">                   9TB</t>
    </r>
  </si>
  <si>
    <t>Fmt</t>
  </si>
  <si>
    <t># of cartridges</t>
  </si>
  <si>
    <t>Total</t>
  </si>
  <si>
    <t>I/O</t>
  </si>
  <si>
    <t>Storage</t>
  </si>
  <si>
    <t>No</t>
  </si>
  <si>
    <t>Yes</t>
  </si>
  <si>
    <t>Native Library Capacity (TB) - LTO</t>
  </si>
  <si>
    <t>ReadOnly</t>
  </si>
  <si>
    <r>
      <t>9</t>
    </r>
    <r>
      <rPr>
        <sz val="9"/>
        <rFont val="Arial"/>
        <family val="2"/>
      </rPr>
      <t>Capacity in GB</t>
    </r>
  </si>
  <si>
    <r>
      <rPr>
        <vertAlign val="superscript"/>
        <sz val="9"/>
        <rFont val="Arial"/>
        <family val="2"/>
      </rPr>
      <t>10</t>
    </r>
    <r>
      <rPr>
        <sz val="9"/>
        <rFont val="Arial"/>
        <family val="2"/>
      </rPr>
      <t>Model E07/EH7 can read JA, JJ, JR, and JW cartridge types only with code level D3I3_5CD or higher.</t>
    </r>
  </si>
  <si>
    <r>
      <t>Cap.</t>
    </r>
    <r>
      <rPr>
        <b/>
        <vertAlign val="superscript"/>
        <sz val="8"/>
        <rFont val="Arial"/>
        <family val="2"/>
      </rPr>
      <t>9</t>
    </r>
  </si>
  <si>
    <r>
      <t>R</t>
    </r>
    <r>
      <rPr>
        <vertAlign val="superscript"/>
        <sz val="9"/>
        <rFont val="Arial"/>
        <family val="2"/>
      </rPr>
      <t>10</t>
    </r>
  </si>
  <si>
    <t>3592 E07/EH7</t>
  </si>
  <si>
    <t>3592 E08/EH8</t>
  </si>
  <si>
    <t>3592 55G/55F-55E</t>
  </si>
  <si>
    <t>TS1155 (3592-55G)</t>
  </si>
  <si>
    <t>TS1150 (3592-EH8), TS1155 (-55F, -55E)</t>
  </si>
  <si>
    <t>TS1140 (3592-EH7)</t>
  </si>
  <si>
    <r>
      <rPr>
        <vertAlign val="superscript"/>
        <sz val="9"/>
        <rFont val="Arial"/>
        <family val="2"/>
      </rPr>
      <t>8</t>
    </r>
    <r>
      <rPr>
        <sz val="9"/>
        <rFont val="Arial"/>
        <family val="2"/>
      </rPr>
      <t>LTO8 is just one drive generation backwards compatible because of the head and media coating technology change, similar to Jag4 &gt; Jag 5</t>
    </r>
  </si>
  <si>
    <r>
      <rPr>
        <vertAlign val="superscript"/>
        <sz val="9"/>
        <rFont val="Arial"/>
        <family val="2"/>
      </rPr>
      <t>8</t>
    </r>
    <r>
      <rPr>
        <sz val="9"/>
        <rFont val="Arial"/>
        <family val="2"/>
      </rPr>
      <t>9TB on a Ultrium 7 cartridge ONLY, if the cartridge is new and has NOT been used before in a LTO G7 drive with 6TB of capacity and also contains the ext. Label xxxxxxM8</t>
    </r>
  </si>
  <si>
    <t>E6</t>
  </si>
  <si>
    <t>TS1160 (3592-60G)</t>
  </si>
  <si>
    <t>JE/JV</t>
  </si>
  <si>
    <t>JM</t>
  </si>
  <si>
    <t>(4TB) ReadOnly</t>
  </si>
  <si>
    <t>3592 60G/60F-60E</t>
  </si>
  <si>
    <r>
      <rPr>
        <b/>
        <vertAlign val="superscript"/>
        <sz val="10"/>
        <color rgb="FFFF0000"/>
        <rFont val="Arial"/>
        <family val="2"/>
      </rPr>
      <t>*</t>
    </r>
    <r>
      <rPr>
        <b/>
        <sz val="10"/>
        <color rgb="FFFF0000"/>
        <rFont val="Arial"/>
        <family val="2"/>
      </rPr>
      <t>IMPORTANT: TS3310 is EOM</t>
    </r>
  </si>
  <si>
    <r>
      <rPr>
        <b/>
        <vertAlign val="superscript"/>
        <sz val="10"/>
        <color rgb="FFFF0000"/>
        <rFont val="Arial"/>
        <family val="2"/>
      </rPr>
      <t>*</t>
    </r>
    <r>
      <rPr>
        <b/>
        <sz val="10"/>
        <color rgb="FFFF0000"/>
        <rFont val="Arial"/>
        <family val="2"/>
      </rPr>
      <t>IMPORTANT: TS3100, TS3200 is EOM 2018</t>
    </r>
  </si>
  <si>
    <r>
      <rPr>
        <b/>
        <vertAlign val="superscript"/>
        <sz val="10"/>
        <color rgb="FFFF0000"/>
        <rFont val="Arial"/>
        <family val="2"/>
      </rPr>
      <t>*</t>
    </r>
    <r>
      <rPr>
        <b/>
        <sz val="10"/>
        <color rgb="FFFF0000"/>
        <rFont val="Arial"/>
        <family val="2"/>
      </rPr>
      <t>IMPORTANT: TS3400 is EOM already in 2010</t>
    </r>
  </si>
  <si>
    <t>1) ggf. Check and Hide and Protect formulas in user-sheets via: Select Cell(s), HOME - CELLS, FORMAT, Format Cells and last Tab "Protection"- use LOCKED and HIDDEN</t>
  </si>
  <si>
    <t>3) Protect Sheet(s) and Workbook via: REVIEW - PROTEC SHEET(s) &amp; PROTECT WORKBOOK</t>
  </si>
  <si>
    <t>(500) ReadOnly</t>
  </si>
  <si>
    <t>(4000) ReadOnly</t>
  </si>
  <si>
    <t>TS1160 (3592-60F, 60E)</t>
  </si>
  <si>
    <t>xxxxxxL9</t>
  </si>
  <si>
    <t>Ultrium 9 Data</t>
  </si>
  <si>
    <r>
      <t>9</t>
    </r>
    <r>
      <rPr>
        <sz val="9"/>
        <rFont val="Arial"/>
        <family val="2"/>
      </rPr>
      <t xml:space="preserve">LTO G9 drive, </t>
    </r>
    <r>
      <rPr>
        <vertAlign val="superscript"/>
        <sz val="9"/>
        <rFont val="Arial"/>
        <family val="2"/>
      </rPr>
      <t>8</t>
    </r>
    <r>
      <rPr>
        <sz val="9"/>
        <rFont val="Arial"/>
        <family val="2"/>
      </rPr>
      <t xml:space="preserve">LTO G8 drive, </t>
    </r>
    <r>
      <rPr>
        <vertAlign val="superscript"/>
        <sz val="9"/>
        <rFont val="Arial"/>
        <family val="2"/>
      </rPr>
      <t>7</t>
    </r>
    <r>
      <rPr>
        <sz val="9"/>
        <rFont val="Arial"/>
        <family val="2"/>
      </rPr>
      <t xml:space="preserve">LTO G7 drive, </t>
    </r>
    <r>
      <rPr>
        <vertAlign val="superscript"/>
        <sz val="9"/>
        <rFont val="Arial"/>
        <family val="2"/>
      </rPr>
      <t>6</t>
    </r>
    <r>
      <rPr>
        <sz val="9"/>
        <rFont val="Arial"/>
        <family val="2"/>
      </rPr>
      <t xml:space="preserve">LTO G6 drive, </t>
    </r>
    <r>
      <rPr>
        <vertAlign val="superscript"/>
        <sz val="9"/>
        <rFont val="Arial"/>
        <family val="2"/>
      </rPr>
      <t>5</t>
    </r>
    <r>
      <rPr>
        <sz val="9"/>
        <rFont val="Arial"/>
        <family val="2"/>
      </rPr>
      <t xml:space="preserve">LTO G5 drive, </t>
    </r>
    <r>
      <rPr>
        <vertAlign val="superscript"/>
        <sz val="9"/>
        <rFont val="Arial"/>
        <family val="2"/>
      </rPr>
      <t>4</t>
    </r>
    <r>
      <rPr>
        <sz val="9"/>
        <rFont val="Arial"/>
        <family val="2"/>
      </rPr>
      <t xml:space="preserve">LTO G4 drive, </t>
    </r>
    <r>
      <rPr>
        <vertAlign val="superscript"/>
        <sz val="9"/>
        <rFont val="Arial"/>
        <family val="2"/>
      </rPr>
      <t>3</t>
    </r>
    <r>
      <rPr>
        <sz val="9"/>
        <rFont val="Arial"/>
        <family val="2"/>
      </rPr>
      <t xml:space="preserve">LTO G3 drive, </t>
    </r>
    <r>
      <rPr>
        <vertAlign val="superscript"/>
        <sz val="9"/>
        <rFont val="Arial"/>
        <family val="2"/>
      </rPr>
      <t>2</t>
    </r>
    <r>
      <rPr>
        <sz val="9"/>
        <rFont val="Arial"/>
        <family val="2"/>
      </rPr>
      <t xml:space="preserve">LTO G2 drive, </t>
    </r>
    <r>
      <rPr>
        <vertAlign val="superscript"/>
        <sz val="9"/>
        <rFont val="Arial"/>
        <family val="2"/>
      </rPr>
      <t>1</t>
    </r>
    <r>
      <rPr>
        <sz val="9"/>
        <rFont val="Arial"/>
        <family val="2"/>
      </rPr>
      <t>LTO G1 drives</t>
    </r>
  </si>
  <si>
    <r>
      <t>U9</t>
    </r>
    <r>
      <rPr>
        <b/>
        <vertAlign val="superscript"/>
        <sz val="8"/>
        <rFont val="Arial"/>
        <family val="2"/>
      </rPr>
      <t>9</t>
    </r>
  </si>
  <si>
    <t>xxxxxxLZ</t>
  </si>
  <si>
    <t>Ultrium 9</t>
  </si>
  <si>
    <t>Ultrium 9      18TB</t>
  </si>
  <si>
    <t>&lt;IBM Tape Library Slot Calculator Usage&gt;</t>
  </si>
  <si>
    <t>y</t>
  </si>
  <si>
    <r>
      <t>R</t>
    </r>
    <r>
      <rPr>
        <vertAlign val="superscript"/>
        <sz val="9"/>
        <rFont val="Arial"/>
        <family val="2"/>
      </rPr>
      <t>11</t>
    </r>
  </si>
  <si>
    <r>
      <rPr>
        <vertAlign val="superscript"/>
        <sz val="9"/>
        <rFont val="Arial"/>
        <family val="2"/>
      </rPr>
      <t>11</t>
    </r>
    <r>
      <rPr>
        <sz val="9"/>
        <rFont val="Arial"/>
        <family val="2"/>
      </rPr>
      <t>Model TS1155 and TS1160 can only read JC, JY and JK cartridge with TS1140 initial format (4TB, 500GB)</t>
    </r>
  </si>
  <si>
    <t>TS4500 (3584) Slot Calculator v5.10</t>
  </si>
  <si>
    <t>TS3500 (3584) Slot Calculator v5.10</t>
  </si>
  <si>
    <t>N/S</t>
  </si>
  <si>
    <t>JF</t>
  </si>
  <si>
    <t>E7</t>
  </si>
  <si>
    <t>TS1170 (3592-70F)</t>
  </si>
  <si>
    <t>3592 70F</t>
  </si>
  <si>
    <r>
      <t>Slot Calculator for TS3100*, TS3200*, TS3310*, TS3400</t>
    </r>
    <r>
      <rPr>
        <b/>
        <vertAlign val="superscript"/>
        <sz val="14"/>
        <color indexed="13"/>
        <rFont val="Arial"/>
        <family val="2"/>
      </rPr>
      <t>*</t>
    </r>
    <r>
      <rPr>
        <b/>
        <sz val="14"/>
        <color indexed="13"/>
        <rFont val="Arial"/>
        <family val="2"/>
      </rPr>
      <t xml:space="preserve"> and TS4300 v5.10</t>
    </r>
  </si>
  <si>
    <t>NUM7</t>
  </si>
  <si>
    <t>NUM15</t>
  </si>
  <si>
    <t>NUM8</t>
  </si>
  <si>
    <t>NUM9</t>
  </si>
  <si>
    <t>NUM10</t>
  </si>
  <si>
    <t>NUM11</t>
  </si>
  <si>
    <t>NUM12</t>
  </si>
  <si>
    <t>NUM13</t>
  </si>
  <si>
    <t>NUM14</t>
  </si>
  <si>
    <t>TS4300 (3555-L3A/E3A) R1/R2</t>
  </si>
  <si>
    <t>https://www.ibm.com/docs/en/ts4300-tape-library?topic=overview-structure-supported-library-configurations</t>
  </si>
  <si>
    <t>NUM0TO6</t>
  </si>
  <si>
    <t>TS4300 (3555-L3A/E3A) &gt;R2.1 max. 21U</t>
  </si>
  <si>
    <t>TS4300 (3555-L3A/E3A) R6.1 21U-48U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</si>
</sst>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_);[Red]\(&quot;$&quot;#,##0\)"/>
    <numFmt numFmtId="165" formatCode="#,##0.0"/>
    <numFmt numFmtId="166" formatCode="#,##0;[Red]#,##0"/>
    <numFmt numFmtId="167" formatCode="#,##0_ "/>
    <numFmt numFmtId="168" formatCode="0.0"/>
  </numFmts>
  <fonts count="74">
    <font>
      <sz val="10"/>
      <name val="Arial"/>
      <family val="2"/>
    </font>
    <font>
      <sz val="10"/>
      <name val="Arial"/>
      <family val="2"/>
    </font>
    <font>
      <sz val="8"/>
      <name val="Arial"/>
      <family val="2"/>
    </font>
    <font>
      <b/>
      <sz val="11"/>
      <name val="Arial"/>
      <family val="2"/>
    </font>
    <font>
      <b/>
      <sz val="10"/>
      <name val="Arial"/>
      <family val="2"/>
    </font>
    <font>
      <b/>
      <sz val="11"/>
      <color indexed="10"/>
      <name val="Arial"/>
      <family val="2"/>
    </font>
    <font>
      <b/>
      <u val="doubleAccounting"/>
      <sz val="14"/>
      <color indexed="8"/>
      <name val="Arial"/>
      <family val="2"/>
    </font>
    <font>
      <b/>
      <sz val="10"/>
      <color indexed="10"/>
      <name val="Arial"/>
      <family val="2"/>
    </font>
    <font>
      <sz val="10"/>
      <name val="Arial"/>
      <family val="2"/>
    </font>
    <font>
      <sz val="8"/>
      <color indexed="81"/>
      <name val="Tahoma"/>
      <family val="2"/>
    </font>
    <font>
      <sz val="9"/>
      <name val="Arial"/>
      <family val="2"/>
    </font>
    <font>
      <vertAlign val="superscript"/>
      <sz val="9"/>
      <name val="Arial"/>
      <family val="2"/>
    </font>
    <font>
      <sz val="9"/>
      <name val="Courier New"/>
      <family val="3"/>
    </font>
    <font>
      <b/>
      <sz val="9"/>
      <color indexed="9"/>
      <name val="Arial"/>
      <family val="2"/>
    </font>
    <font>
      <b/>
      <sz val="8"/>
      <name val="Arial"/>
      <family val="2"/>
    </font>
    <font>
      <b/>
      <sz val="10"/>
      <color indexed="39"/>
      <name val="Arial"/>
      <family val="2"/>
    </font>
    <font>
      <sz val="10"/>
      <color indexed="10"/>
      <name val="Arial"/>
      <family val="2"/>
    </font>
    <font>
      <sz val="10"/>
      <color indexed="39"/>
      <name val="Arial"/>
      <family val="2"/>
    </font>
    <font>
      <sz val="9"/>
      <color indexed="9"/>
      <name val="Arial"/>
      <family val="2"/>
    </font>
    <font>
      <sz val="10"/>
      <color indexed="9"/>
      <name val="Arial"/>
      <family val="2"/>
    </font>
    <font>
      <b/>
      <sz val="10"/>
      <color indexed="9"/>
      <name val="Arial"/>
      <family val="2"/>
    </font>
    <font>
      <b/>
      <sz val="9"/>
      <name val="Arial"/>
      <family val="2"/>
    </font>
    <font>
      <sz val="10"/>
      <color indexed="22"/>
      <name val="Arial"/>
      <family val="2"/>
    </font>
    <font>
      <b/>
      <sz val="10"/>
      <color indexed="13"/>
      <name val="Arial"/>
      <family val="2"/>
    </font>
    <font>
      <b/>
      <sz val="11"/>
      <color indexed="9"/>
      <name val="Arial"/>
      <family val="2"/>
    </font>
    <font>
      <i/>
      <sz val="9"/>
      <color indexed="10"/>
      <name val="Arial"/>
      <family val="2"/>
    </font>
    <font>
      <sz val="10"/>
      <color indexed="13"/>
      <name val="Arial"/>
      <family val="2"/>
    </font>
    <font>
      <sz val="10"/>
      <name val="Arial"/>
      <family val="2"/>
    </font>
    <font>
      <b/>
      <sz val="12"/>
      <color indexed="9"/>
      <name val="Arial"/>
      <family val="2"/>
    </font>
    <font>
      <b/>
      <sz val="10"/>
      <color indexed="26"/>
      <name val="Arial"/>
      <family val="2"/>
    </font>
    <font>
      <b/>
      <sz val="11"/>
      <color indexed="26"/>
      <name val="Arial"/>
      <family val="2"/>
    </font>
    <font>
      <b/>
      <sz val="8"/>
      <color indexed="10"/>
      <name val="Arial"/>
      <family val="2"/>
    </font>
    <font>
      <b/>
      <vertAlign val="superscript"/>
      <sz val="8"/>
      <name val="Arial"/>
      <family val="2"/>
    </font>
    <font>
      <sz val="9"/>
      <color indexed="9"/>
      <name val="Courier New"/>
      <family val="3"/>
    </font>
    <font>
      <sz val="8"/>
      <name val="돋움"/>
      <family val="3"/>
      <charset val="129"/>
    </font>
    <font>
      <b/>
      <sz val="12"/>
      <color indexed="10"/>
      <name val="Arial"/>
      <family val="2"/>
    </font>
    <font>
      <b/>
      <sz val="10"/>
      <color rgb="FFFF0000"/>
      <name val="Arial"/>
      <family val="2"/>
    </font>
    <font>
      <b/>
      <vertAlign val="superscript"/>
      <sz val="10"/>
      <color rgb="FFFF0000"/>
      <name val="Arial"/>
      <family val="2"/>
    </font>
    <font>
      <b/>
      <sz val="10"/>
      <color theme="0"/>
      <name val="Arial"/>
      <family val="2"/>
    </font>
    <font>
      <sz val="10"/>
      <color rgb="FFFF0000"/>
      <name val="Arial"/>
      <family val="2"/>
    </font>
    <font>
      <sz val="10"/>
      <color theme="0"/>
      <name val="Arial"/>
      <family val="2"/>
    </font>
    <font>
      <sz val="10"/>
      <color theme="1"/>
      <name val="Arial"/>
      <family val="2"/>
    </font>
    <font>
      <sz val="10"/>
      <color theme="0" tint="-0.34998626667073579"/>
      <name val="Arial"/>
      <family val="2"/>
    </font>
    <font>
      <i/>
      <sz val="10"/>
      <name val="Arial"/>
      <family val="2"/>
    </font>
    <font>
      <sz val="10"/>
      <color theme="0" tint="-0.14999847407452621"/>
      <name val="Arial"/>
      <family val="2"/>
    </font>
    <font>
      <i/>
      <sz val="9"/>
      <color theme="1"/>
      <name val="Arial"/>
      <family val="2"/>
    </font>
    <font>
      <sz val="10"/>
      <color theme="7"/>
      <name val="Arial"/>
      <family val="2"/>
    </font>
    <font>
      <b/>
      <sz val="10"/>
      <color theme="7"/>
      <name val="Arial"/>
      <family val="2"/>
    </font>
    <font>
      <sz val="9"/>
      <color indexed="81"/>
      <name val="Tahoma"/>
      <family val="2"/>
    </font>
    <font>
      <b/>
      <sz val="9"/>
      <color indexed="81"/>
      <name val="Tahoma"/>
      <family val="2"/>
    </font>
    <font>
      <i/>
      <sz val="8"/>
      <color theme="1"/>
      <name val="Arial"/>
      <family val="2"/>
    </font>
    <font>
      <b/>
      <u/>
      <sz val="10"/>
      <color rgb="FFFF0000"/>
      <name val="Arial"/>
      <family val="2"/>
    </font>
    <font>
      <i/>
      <sz val="10"/>
      <color rgb="FFFF0000"/>
      <name val="Arial"/>
      <family val="2"/>
    </font>
    <font>
      <b/>
      <sz val="10"/>
      <color rgb="FFFFFF00"/>
      <name val="Arial"/>
      <family val="2"/>
    </font>
    <font>
      <b/>
      <sz val="12"/>
      <color theme="0"/>
      <name val="Arial"/>
      <family val="2"/>
    </font>
    <font>
      <sz val="10"/>
      <color rgb="FFFFFF66"/>
      <name val="Arial"/>
      <family val="2"/>
    </font>
    <font>
      <b/>
      <sz val="10"/>
      <color rgb="FF0000FF"/>
      <name val="Arial"/>
      <family val="2"/>
    </font>
    <font>
      <sz val="10"/>
      <color rgb="FF0000FF"/>
      <name val="Arial"/>
      <family val="2"/>
    </font>
    <font>
      <b/>
      <sz val="8"/>
      <color rgb="FF0000FF"/>
      <name val="Arial"/>
      <family val="2"/>
    </font>
    <font>
      <sz val="8"/>
      <color rgb="FF0000FF"/>
      <name val="Arial"/>
      <family val="2"/>
    </font>
    <font>
      <b/>
      <sz val="11"/>
      <color rgb="FF0000FF"/>
      <name val="Arial"/>
      <family val="2"/>
    </font>
    <font>
      <b/>
      <sz val="12"/>
      <color rgb="FF0000FF"/>
      <name val="Arial"/>
      <family val="2"/>
    </font>
    <font>
      <b/>
      <sz val="22"/>
      <name val="Arial"/>
      <family val="2"/>
    </font>
    <font>
      <u/>
      <sz val="10"/>
      <color theme="10"/>
      <name val="Arial"/>
      <family val="2"/>
    </font>
    <font>
      <i/>
      <sz val="10"/>
      <color indexed="10"/>
      <name val="Arial"/>
      <family val="2"/>
    </font>
    <font>
      <b/>
      <sz val="10"/>
      <color theme="0" tint="-0.499984740745262"/>
      <name val="Arial"/>
      <family val="2"/>
    </font>
    <font>
      <b/>
      <sz val="14"/>
      <color indexed="13"/>
      <name val="Arial"/>
      <family val="2"/>
    </font>
    <font>
      <b/>
      <vertAlign val="superscript"/>
      <sz val="14"/>
      <color indexed="13"/>
      <name val="Arial"/>
      <family val="2"/>
    </font>
    <font>
      <b/>
      <sz val="10"/>
      <color theme="1"/>
      <name val="Arial"/>
      <family val="2"/>
    </font>
    <font>
      <b/>
      <sz val="7"/>
      <color rgb="FF0000FF"/>
      <name val="Arial"/>
      <family val="2"/>
    </font>
    <font>
      <sz val="7"/>
      <color rgb="FF0000FF"/>
      <name val="Arial"/>
      <family val="2"/>
    </font>
    <font>
      <sz val="11"/>
      <name val="Calibri"/>
      <family val="2"/>
    </font>
    <font>
      <sz val="11"/>
      <color theme="1"/>
      <name val="Calibri"/>
      <family val="2"/>
    </font>
    <font>
      <b/>
      <sz val="11"/>
      <color theme="1"/>
      <name val="Calibri"/>
      <family val="2"/>
    </font>
  </fonts>
  <fills count="47">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27"/>
        <bgColor indexed="64"/>
      </patternFill>
    </fill>
    <fill>
      <patternFill patternType="solid">
        <fgColor indexed="23"/>
        <bgColor indexed="64"/>
      </patternFill>
    </fill>
    <fill>
      <patternFill patternType="solid">
        <fgColor indexed="44"/>
        <bgColor indexed="64"/>
      </patternFill>
    </fill>
    <fill>
      <patternFill patternType="solid">
        <fgColor indexed="39"/>
        <bgColor indexed="64"/>
      </patternFill>
    </fill>
    <fill>
      <patternFill patternType="solid">
        <fgColor indexed="43"/>
        <bgColor indexed="64"/>
      </patternFill>
    </fill>
    <fill>
      <patternFill patternType="solid">
        <fgColor indexed="8"/>
        <bgColor indexed="64"/>
      </patternFill>
    </fill>
    <fill>
      <patternFill patternType="solid">
        <fgColor indexed="10"/>
        <bgColor indexed="9"/>
      </patternFill>
    </fill>
    <fill>
      <patternFill patternType="solid">
        <fgColor indexed="10"/>
        <bgColor indexed="64"/>
      </patternFill>
    </fill>
    <fill>
      <patternFill patternType="solid">
        <fgColor indexed="22"/>
        <bgColor indexed="64"/>
      </patternFill>
    </fill>
    <fill>
      <patternFill patternType="solid">
        <fgColor indexed="43"/>
        <bgColor indexed="39"/>
      </patternFill>
    </fill>
    <fill>
      <patternFill patternType="solid">
        <fgColor indexed="31"/>
        <bgColor indexed="64"/>
      </patternFill>
    </fill>
    <fill>
      <patternFill patternType="solid">
        <fgColor indexed="45"/>
        <bgColor indexed="64"/>
      </patternFill>
    </fill>
    <fill>
      <patternFill patternType="solid">
        <fgColor indexed="47"/>
        <bgColor indexed="64"/>
      </patternFill>
    </fill>
    <fill>
      <patternFill patternType="solid">
        <fgColor theme="0"/>
        <bgColor indexed="64"/>
      </patternFill>
    </fill>
    <fill>
      <patternFill patternType="solid">
        <fgColor theme="1"/>
        <bgColor indexed="64"/>
      </patternFill>
    </fill>
    <fill>
      <patternFill patternType="solid">
        <fgColor theme="9" tint="-0.249977111117893"/>
        <bgColor indexed="64"/>
      </patternFill>
    </fill>
    <fill>
      <patternFill patternType="solid">
        <fgColor rgb="FF7030A0"/>
        <bgColor indexed="64"/>
      </patternFill>
    </fill>
    <fill>
      <patternFill patternType="solid">
        <fgColor theme="4" tint="-0.499984740745262"/>
        <bgColor indexed="64"/>
      </patternFill>
    </fill>
    <fill>
      <patternFill patternType="solid">
        <fgColor rgb="FF0070C0"/>
        <bgColor indexed="64"/>
      </patternFill>
    </fill>
    <fill>
      <patternFill patternType="solid">
        <fgColor theme="0"/>
        <bgColor indexed="32"/>
      </patternFill>
    </fill>
    <fill>
      <patternFill patternType="solid">
        <fgColor theme="0" tint="-0.14999847407452621"/>
        <bgColor indexed="64"/>
      </patternFill>
    </fill>
    <fill>
      <patternFill patternType="solid">
        <fgColor theme="0" tint="-0.249977111117893"/>
        <bgColor indexed="64"/>
      </patternFill>
    </fill>
    <fill>
      <patternFill patternType="solid">
        <fgColor rgb="FFCFFCFD"/>
        <bgColor indexed="64"/>
      </patternFill>
    </fill>
    <fill>
      <patternFill patternType="solid">
        <fgColor rgb="FFFFFF00"/>
        <bgColor indexed="64"/>
      </patternFill>
    </fill>
    <fill>
      <patternFill patternType="solid">
        <fgColor theme="1" tint="0.14999847407452621"/>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39997558519241921"/>
        <bgColor indexed="64"/>
      </patternFill>
    </fill>
    <fill>
      <gradientFill degree="90">
        <stop position="0">
          <color theme="5" tint="0.40000610370189521"/>
        </stop>
        <stop position="1">
          <color theme="8" tint="0.40000610370189521"/>
        </stop>
      </gradientFill>
    </fill>
    <fill>
      <patternFill patternType="solid">
        <fgColor theme="8" tint="0.39994506668294322"/>
        <bgColor indexed="64"/>
      </patternFill>
    </fill>
    <fill>
      <patternFill patternType="solid">
        <fgColor theme="9" tint="0.79998168889431442"/>
        <bgColor indexed="64"/>
      </patternFill>
    </fill>
    <fill>
      <patternFill patternType="solid">
        <fgColor rgb="FFFF0000"/>
        <bgColor indexed="64"/>
      </patternFill>
    </fill>
    <fill>
      <patternFill patternType="solid">
        <fgColor rgb="FF0000FF"/>
        <bgColor indexed="64"/>
      </patternFill>
    </fill>
    <fill>
      <patternFill patternType="solid">
        <fgColor rgb="FFFFFFCC"/>
        <bgColor indexed="64"/>
      </patternFill>
    </fill>
    <fill>
      <patternFill patternType="solid">
        <fgColor rgb="FFFFFF99"/>
        <bgColor indexed="64"/>
      </patternFill>
    </fill>
    <fill>
      <patternFill patternType="solid">
        <fgColor theme="8" tint="0.59999389629810485"/>
        <bgColor indexed="64"/>
      </patternFill>
    </fill>
    <fill>
      <patternFill patternType="solid">
        <fgColor rgb="FFFDFECE"/>
        <bgColor indexed="64"/>
      </patternFill>
    </fill>
    <fill>
      <patternFill patternType="solid">
        <fgColor rgb="FFBF1609"/>
        <bgColor indexed="64"/>
      </patternFill>
    </fill>
    <fill>
      <patternFill patternType="solid">
        <fgColor rgb="FF972907"/>
        <bgColor indexed="64"/>
      </patternFill>
    </fill>
    <fill>
      <patternFill patternType="lightUp">
        <bgColor theme="0" tint="-4.9989318521683403E-2"/>
      </patternFill>
    </fill>
    <fill>
      <patternFill patternType="solid">
        <fgColor rgb="FFCCFFFF"/>
        <bgColor indexed="64"/>
      </patternFill>
    </fill>
    <fill>
      <patternFill patternType="solid">
        <fgColor rgb="FFB4C6E7"/>
        <bgColor indexed="64"/>
      </patternFill>
    </fill>
    <fill>
      <patternFill patternType="lightGrid">
        <bgColor theme="0"/>
      </patternFill>
    </fill>
  </fills>
  <borders count="364">
    <border>
      <left/>
      <right/>
      <top/>
      <bottom/>
      <diagonal/>
    </border>
    <border>
      <left/>
      <right style="medium">
        <color auto="1"/>
      </right>
      <top style="medium">
        <color auto="1"/>
      </top>
      <bottom/>
      <diagonal/>
    </border>
    <border>
      <left style="double">
        <color auto="1"/>
      </left>
      <right style="double">
        <color auto="1"/>
      </right>
      <top style="double">
        <color auto="1"/>
      </top>
      <bottom style="double">
        <color auto="1"/>
      </bottom>
      <diagonal/>
    </border>
    <border>
      <left style="dashed">
        <color auto="1"/>
      </left>
      <right/>
      <top style="dashed">
        <color auto="1"/>
      </top>
      <bottom style="dashed">
        <color auto="1"/>
      </bottom>
      <diagonal/>
    </border>
    <border>
      <left/>
      <right/>
      <top style="dashed">
        <color auto="1"/>
      </top>
      <bottom style="dashed">
        <color auto="1"/>
      </bottom>
      <diagonal/>
    </border>
    <border>
      <left/>
      <right/>
      <top style="double">
        <color auto="1"/>
      </top>
      <bottom/>
      <diagonal/>
    </border>
    <border>
      <left style="thick">
        <color auto="1"/>
      </left>
      <right style="thick">
        <color auto="1"/>
      </right>
      <top style="thick">
        <color auto="1"/>
      </top>
      <bottom style="thick">
        <color auto="1"/>
      </bottom>
      <diagonal/>
    </border>
    <border>
      <left/>
      <right style="thin">
        <color auto="1"/>
      </right>
      <top style="thin">
        <color auto="1"/>
      </top>
      <bottom style="thin">
        <color auto="1"/>
      </bottom>
      <diagonal/>
    </border>
    <border>
      <left style="medium">
        <color indexed="39"/>
      </left>
      <right style="medium">
        <color indexed="39"/>
      </right>
      <top style="medium">
        <color indexed="39"/>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style="double">
        <color auto="1"/>
      </right>
      <top/>
      <bottom/>
      <diagonal/>
    </border>
    <border>
      <left style="medium">
        <color auto="1"/>
      </left>
      <right style="double">
        <color auto="1"/>
      </right>
      <top/>
      <bottom style="medium">
        <color auto="1"/>
      </bottom>
      <diagonal/>
    </border>
    <border>
      <left/>
      <right/>
      <top/>
      <bottom style="medium">
        <color auto="1"/>
      </bottom>
      <diagonal/>
    </border>
    <border>
      <left style="thin">
        <color auto="1"/>
      </left>
      <right style="thin">
        <color auto="1"/>
      </right>
      <top style="medium">
        <color auto="1"/>
      </top>
      <bottom/>
      <diagonal/>
    </border>
    <border diagonalUp="1">
      <left style="thin">
        <color auto="1"/>
      </left>
      <right style="thin">
        <color auto="1"/>
      </right>
      <top/>
      <bottom/>
      <diagonal style="thin">
        <color auto="1"/>
      </diagonal>
    </border>
    <border>
      <left style="thin">
        <color auto="1"/>
      </left>
      <right style="thin">
        <color auto="1"/>
      </right>
      <top/>
      <bottom/>
      <diagonal/>
    </border>
    <border diagonalUp="1">
      <left style="thin">
        <color auto="1"/>
      </left>
      <right style="thin">
        <color auto="1"/>
      </right>
      <top/>
      <bottom style="medium">
        <color auto="1"/>
      </bottom>
      <diagonal style="thin">
        <color auto="1"/>
      </diagonal>
    </border>
    <border>
      <left style="medium">
        <color auto="1"/>
      </left>
      <right style="double">
        <color auto="1"/>
      </right>
      <top style="medium">
        <color auto="1"/>
      </top>
      <bottom/>
      <diagonal/>
    </border>
    <border>
      <left style="thin">
        <color auto="1"/>
      </left>
      <right style="thin">
        <color auto="1"/>
      </right>
      <top style="thin">
        <color auto="1"/>
      </top>
      <bottom style="medium">
        <color auto="1"/>
      </bottom>
      <diagonal/>
    </border>
    <border>
      <left style="medium">
        <color auto="1"/>
      </left>
      <right/>
      <top style="thin">
        <color auto="1"/>
      </top>
      <bottom style="medium">
        <color auto="1"/>
      </bottom>
      <diagonal/>
    </border>
    <border diagonalUp="1">
      <left style="thin">
        <color auto="1"/>
      </left>
      <right style="thin">
        <color auto="1"/>
      </right>
      <top style="medium">
        <color auto="1"/>
      </top>
      <bottom/>
      <diagonal style="thin">
        <color auto="1"/>
      </diagonal>
    </border>
    <border>
      <left style="medium">
        <color auto="1"/>
      </left>
      <right style="thin">
        <color auto="1"/>
      </right>
      <top style="thin">
        <color auto="1"/>
      </top>
      <bottom/>
      <diagonal/>
    </border>
    <border>
      <left style="medium">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diagonal/>
    </border>
    <border>
      <left style="thin">
        <color auto="1"/>
      </left>
      <right style="medium">
        <color auto="1"/>
      </right>
      <top style="thin">
        <color auto="1"/>
      </top>
      <bottom/>
      <diagonal/>
    </border>
    <border>
      <left style="thin">
        <color auto="1"/>
      </left>
      <right style="medium">
        <color auto="1"/>
      </right>
      <top style="thin">
        <color auto="1"/>
      </top>
      <bottom style="thin">
        <color auto="1"/>
      </bottom>
      <diagonal/>
    </border>
    <border diagonalUp="1">
      <left style="double">
        <color auto="1"/>
      </left>
      <right/>
      <top/>
      <bottom/>
      <diagonal style="thin">
        <color auto="1"/>
      </diagonal>
    </border>
    <border diagonalUp="1">
      <left/>
      <right style="thin">
        <color auto="1"/>
      </right>
      <top/>
      <bottom/>
      <diagonal style="thin">
        <color auto="1"/>
      </diagonal>
    </border>
    <border diagonalUp="1">
      <left style="double">
        <color auto="1"/>
      </left>
      <right/>
      <top/>
      <bottom style="medium">
        <color auto="1"/>
      </bottom>
      <diagonal style="thin">
        <color auto="1"/>
      </diagonal>
    </border>
    <border diagonalUp="1">
      <left/>
      <right style="thin">
        <color auto="1"/>
      </right>
      <top/>
      <bottom style="medium">
        <color auto="1"/>
      </bottom>
      <diagonal style="thin">
        <color auto="1"/>
      </diagonal>
    </border>
    <border>
      <left style="medium">
        <color auto="1"/>
      </left>
      <right style="double">
        <color auto="1"/>
      </right>
      <top style="thin">
        <color auto="1"/>
      </top>
      <bottom style="thin">
        <color auto="1"/>
      </bottom>
      <diagonal/>
    </border>
    <border>
      <left/>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right style="medium">
        <color auto="1"/>
      </right>
      <top style="thin">
        <color auto="1"/>
      </top>
      <bottom style="thin">
        <color auto="1"/>
      </bottom>
      <diagonal/>
    </border>
    <border diagonalUp="1">
      <left style="thin">
        <color auto="1"/>
      </left>
      <right style="thin">
        <color auto="1"/>
      </right>
      <top style="thin">
        <color auto="1"/>
      </top>
      <bottom/>
      <diagonal style="thin">
        <color auto="1"/>
      </diagonal>
    </border>
    <border>
      <left style="double">
        <color auto="1"/>
      </left>
      <right/>
      <top style="thin">
        <color auto="1"/>
      </top>
      <bottom style="thin">
        <color auto="1"/>
      </bottom>
      <diagonal/>
    </border>
    <border diagonalUp="1">
      <left/>
      <right style="medium">
        <color auto="1"/>
      </right>
      <top style="thin">
        <color auto="1"/>
      </top>
      <bottom style="medium">
        <color auto="1"/>
      </bottom>
      <diagonal style="thin">
        <color auto="1"/>
      </diagonal>
    </border>
    <border diagonalUp="1">
      <left style="thin">
        <color auto="1"/>
      </left>
      <right style="medium">
        <color auto="1"/>
      </right>
      <top style="thin">
        <color auto="1"/>
      </top>
      <bottom style="medium">
        <color auto="1"/>
      </bottom>
      <diagonal style="thin">
        <color auto="1"/>
      </diagonal>
    </border>
    <border>
      <left style="double">
        <color indexed="10"/>
      </left>
      <right style="double">
        <color indexed="10"/>
      </right>
      <top style="double">
        <color indexed="10"/>
      </top>
      <bottom style="double">
        <color indexed="10"/>
      </bottom>
      <diagonal/>
    </border>
    <border>
      <left style="double">
        <color indexed="10"/>
      </left>
      <right style="double">
        <color indexed="10"/>
      </right>
      <top style="double">
        <color indexed="10"/>
      </top>
      <bottom/>
      <diagonal/>
    </border>
    <border>
      <left/>
      <right style="medium">
        <color auto="1"/>
      </right>
      <top style="thin">
        <color auto="1"/>
      </top>
      <bottom style="medium">
        <color auto="1"/>
      </bottom>
      <diagonal/>
    </border>
    <border>
      <left style="medium">
        <color indexed="39"/>
      </left>
      <right style="medium">
        <color indexed="39"/>
      </right>
      <top style="thin">
        <color indexed="39"/>
      </top>
      <bottom style="thin">
        <color indexed="39"/>
      </bottom>
      <diagonal/>
    </border>
    <border>
      <left style="medium">
        <color indexed="39"/>
      </left>
      <right style="medium">
        <color indexed="39"/>
      </right>
      <top/>
      <bottom/>
      <diagonal/>
    </border>
    <border>
      <left style="medium">
        <color indexed="39"/>
      </left>
      <right/>
      <top style="medium">
        <color indexed="39"/>
      </top>
      <bottom/>
      <diagonal/>
    </border>
    <border>
      <left style="thin">
        <color indexed="39"/>
      </left>
      <right style="medium">
        <color indexed="39"/>
      </right>
      <top style="medium">
        <color indexed="39"/>
      </top>
      <bottom/>
      <diagonal/>
    </border>
    <border>
      <left/>
      <right style="thin">
        <color indexed="39"/>
      </right>
      <top style="medium">
        <color indexed="39"/>
      </top>
      <bottom/>
      <diagonal/>
    </border>
    <border>
      <left/>
      <right style="medium">
        <color indexed="39"/>
      </right>
      <top style="medium">
        <color indexed="39"/>
      </top>
      <bottom/>
      <diagonal/>
    </border>
    <border>
      <left/>
      <right style="thin">
        <color indexed="39"/>
      </right>
      <top style="thin">
        <color indexed="39"/>
      </top>
      <bottom style="thin">
        <color indexed="39"/>
      </bottom>
      <diagonal/>
    </border>
    <border>
      <left/>
      <right style="medium">
        <color indexed="39"/>
      </right>
      <top style="thin">
        <color indexed="39"/>
      </top>
      <bottom style="thin">
        <color indexed="39"/>
      </bottom>
      <diagonal/>
    </border>
    <border>
      <left style="medium">
        <color indexed="39"/>
      </left>
      <right/>
      <top/>
      <bottom style="thin">
        <color indexed="39"/>
      </bottom>
      <diagonal/>
    </border>
    <border>
      <left style="thin">
        <color indexed="39"/>
      </left>
      <right style="medium">
        <color indexed="39"/>
      </right>
      <top/>
      <bottom style="thin">
        <color indexed="39"/>
      </bottom>
      <diagonal/>
    </border>
    <border>
      <left/>
      <right style="thin">
        <color indexed="39"/>
      </right>
      <top/>
      <bottom style="thin">
        <color indexed="39"/>
      </bottom>
      <diagonal/>
    </border>
    <border>
      <left/>
      <right style="medium">
        <color indexed="39"/>
      </right>
      <top/>
      <bottom style="thin">
        <color indexed="39"/>
      </bottom>
      <diagonal/>
    </border>
    <border>
      <left style="thin">
        <color indexed="39"/>
      </left>
      <right style="medium">
        <color indexed="39"/>
      </right>
      <top style="thin">
        <color indexed="39"/>
      </top>
      <bottom style="thin">
        <color indexed="39"/>
      </bottom>
      <diagonal/>
    </border>
    <border>
      <left style="thin">
        <color indexed="39"/>
      </left>
      <right style="medium">
        <color indexed="39"/>
      </right>
      <top/>
      <bottom/>
      <diagonal/>
    </border>
    <border>
      <left style="thin">
        <color indexed="10"/>
      </left>
      <right/>
      <top/>
      <bottom/>
      <diagonal/>
    </border>
    <border>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diagonal/>
    </border>
    <border>
      <left style="medium">
        <color auto="1"/>
      </left>
      <right style="medium">
        <color auto="1"/>
      </right>
      <top style="medium">
        <color auto="1"/>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diagonalUp="1">
      <left style="thin">
        <color auto="1"/>
      </left>
      <right style="thin">
        <color auto="1"/>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medium">
        <color auto="1"/>
      </left>
      <right/>
      <top style="medium">
        <color auto="1"/>
      </top>
      <bottom style="thin">
        <color auto="1"/>
      </bottom>
      <diagonal/>
    </border>
    <border>
      <left style="medium">
        <color auto="1"/>
      </left>
      <right/>
      <top style="thin">
        <color auto="1"/>
      </top>
      <bottom/>
      <diagonal/>
    </border>
    <border>
      <left/>
      <right/>
      <top style="medium">
        <color auto="1"/>
      </top>
      <bottom style="medium">
        <color auto="1"/>
      </bottom>
      <diagonal/>
    </border>
    <border diagonalUp="1">
      <left style="medium">
        <color auto="1"/>
      </left>
      <right style="medium">
        <color auto="1"/>
      </right>
      <top style="medium">
        <color auto="1"/>
      </top>
      <bottom style="medium">
        <color auto="1"/>
      </bottom>
      <diagonal style="thin">
        <color auto="1"/>
      </diagonal>
    </border>
    <border>
      <left style="medium">
        <color auto="1"/>
      </left>
      <right style="thin">
        <color auto="1"/>
      </right>
      <top style="medium">
        <color auto="1"/>
      </top>
      <bottom/>
      <diagonal/>
    </border>
    <border>
      <left style="thin">
        <color auto="1"/>
      </left>
      <right/>
      <top style="thin">
        <color auto="1"/>
      </top>
      <bottom style="medium">
        <color auto="1"/>
      </bottom>
      <diagonal/>
    </border>
    <border diagonalUp="1">
      <left style="thin">
        <color auto="1"/>
      </left>
      <right/>
      <top style="medium">
        <color auto="1"/>
      </top>
      <bottom/>
      <diagonal style="thin">
        <color auto="1"/>
      </diagonal>
    </border>
    <border diagonalUp="1">
      <left style="thin">
        <color auto="1"/>
      </left>
      <right/>
      <top/>
      <bottom/>
      <diagonal style="thin">
        <color auto="1"/>
      </diagonal>
    </border>
    <border>
      <left style="thin">
        <color auto="1"/>
      </left>
      <right/>
      <top style="thin">
        <color auto="1"/>
      </top>
      <bottom style="thin">
        <color auto="1"/>
      </bottom>
      <diagonal/>
    </border>
    <border>
      <left style="thin">
        <color auto="1"/>
      </left>
      <right style="thick">
        <color auto="1"/>
      </right>
      <top style="medium">
        <color auto="1"/>
      </top>
      <bottom style="medium">
        <color auto="1"/>
      </bottom>
      <diagonal/>
    </border>
    <border>
      <left style="thick">
        <color auto="1"/>
      </left>
      <right/>
      <top/>
      <bottom/>
      <diagonal/>
    </border>
    <border>
      <left style="thin">
        <color auto="1"/>
      </left>
      <right style="thick">
        <color auto="1"/>
      </right>
      <top/>
      <bottom/>
      <diagonal/>
    </border>
    <border>
      <left style="thick">
        <color auto="1"/>
      </left>
      <right style="medium">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top style="medium">
        <color auto="1"/>
      </top>
      <bottom/>
      <diagonal/>
    </border>
    <border diagonalUp="1">
      <left style="thick">
        <color auto="1"/>
      </left>
      <right/>
      <top style="medium">
        <color auto="1"/>
      </top>
      <bottom/>
      <diagonal style="thin">
        <color auto="1"/>
      </diagonal>
    </border>
    <border diagonalUp="1">
      <left style="thin">
        <color auto="1"/>
      </left>
      <right style="thick">
        <color auto="1"/>
      </right>
      <top style="medium">
        <color auto="1"/>
      </top>
      <bottom/>
      <diagonal style="thin">
        <color auto="1"/>
      </diagonal>
    </border>
    <border diagonalUp="1">
      <left style="thick">
        <color auto="1"/>
      </left>
      <right/>
      <top/>
      <bottom/>
      <diagonal style="thin">
        <color auto="1"/>
      </diagonal>
    </border>
    <border diagonalUp="1">
      <left style="thin">
        <color auto="1"/>
      </left>
      <right style="thick">
        <color auto="1"/>
      </right>
      <top/>
      <bottom/>
      <diagonal style="thin">
        <color auto="1"/>
      </diagonal>
    </border>
    <border>
      <left style="thick">
        <color auto="1"/>
      </left>
      <right/>
      <top style="thin">
        <color auto="1"/>
      </top>
      <bottom style="thin">
        <color auto="1"/>
      </bottom>
      <diagonal/>
    </border>
    <border>
      <left style="thick">
        <color auto="1"/>
      </left>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top style="thick">
        <color auto="1"/>
      </top>
      <bottom/>
      <diagonal/>
    </border>
    <border>
      <left/>
      <right/>
      <top style="thick">
        <color auto="1"/>
      </top>
      <bottom/>
      <diagonal/>
    </border>
    <border>
      <left/>
      <right style="thick">
        <color auto="1"/>
      </right>
      <top style="thin">
        <color auto="1"/>
      </top>
      <bottom style="medium">
        <color auto="1"/>
      </bottom>
      <diagonal/>
    </border>
    <border diagonalUp="1">
      <left/>
      <right style="thick">
        <color auto="1"/>
      </right>
      <top style="medium">
        <color auto="1"/>
      </top>
      <bottom/>
      <diagonal style="thin">
        <color auto="1"/>
      </diagonal>
    </border>
    <border diagonalUp="1">
      <left/>
      <right style="thick">
        <color auto="1"/>
      </right>
      <top/>
      <bottom/>
      <diagonal style="thin">
        <color auto="1"/>
      </diagonal>
    </border>
    <border>
      <left/>
      <right style="thick">
        <color auto="1"/>
      </right>
      <top style="thin">
        <color auto="1"/>
      </top>
      <bottom style="thin">
        <color auto="1"/>
      </bottom>
      <diagonal/>
    </border>
    <border>
      <left style="thin">
        <color auto="1"/>
      </left>
      <right style="medium">
        <color auto="1"/>
      </right>
      <top style="thin">
        <color auto="1"/>
      </top>
      <bottom style="thick">
        <color auto="1"/>
      </bottom>
      <diagonal/>
    </border>
    <border>
      <left style="medium">
        <color auto="1"/>
      </left>
      <right/>
      <top style="thin">
        <color auto="1"/>
      </top>
      <bottom style="thick">
        <color auto="1"/>
      </bottom>
      <diagonal/>
    </border>
    <border>
      <left style="thin">
        <color auto="1"/>
      </left>
      <right/>
      <top style="thin">
        <color auto="1"/>
      </top>
      <bottom style="thick">
        <color auto="1"/>
      </bottom>
      <diagonal/>
    </border>
    <border>
      <left/>
      <right style="thick">
        <color auto="1"/>
      </right>
      <top style="thin">
        <color auto="1"/>
      </top>
      <bottom style="thick">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auto="1"/>
      </left>
      <right/>
      <top style="medium">
        <color auto="1"/>
      </top>
      <bottom/>
      <diagonal/>
    </border>
    <border>
      <left/>
      <right style="thin">
        <color auto="1"/>
      </right>
      <top style="medium">
        <color auto="1"/>
      </top>
      <bottom/>
      <diagonal/>
    </border>
    <border>
      <left style="double">
        <color auto="1"/>
      </left>
      <right/>
      <top/>
      <bottom/>
      <diagonal/>
    </border>
    <border>
      <left style="thin">
        <color auto="1"/>
      </left>
      <right style="medium">
        <color auto="1"/>
      </right>
      <top/>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dashed">
        <color auto="1"/>
      </top>
      <bottom style="thin">
        <color auto="1"/>
      </bottom>
      <diagonal/>
    </border>
    <border>
      <left/>
      <right style="thin">
        <color auto="1"/>
      </right>
      <top style="dashed">
        <color auto="1"/>
      </top>
      <bottom style="thin">
        <color auto="1"/>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medium">
        <color auto="1"/>
      </left>
      <right/>
      <top/>
      <bottom style="medium">
        <color auto="1"/>
      </bottom>
      <diagonal/>
    </border>
    <border>
      <left style="thin">
        <color auto="1"/>
      </left>
      <right style="medium">
        <color auto="1"/>
      </right>
      <top/>
      <bottom style="medium">
        <color auto="1"/>
      </bottom>
      <diagonal/>
    </border>
    <border>
      <left/>
      <right style="thin">
        <color auto="1"/>
      </right>
      <top/>
      <bottom style="medium">
        <color auto="1"/>
      </bottom>
      <diagonal/>
    </border>
    <border>
      <left style="double">
        <color auto="1"/>
      </left>
      <right style="thin">
        <color auto="1"/>
      </right>
      <top/>
      <bottom/>
      <diagonal/>
    </border>
    <border>
      <left style="double">
        <color auto="1"/>
      </left>
      <right style="thin">
        <color auto="1"/>
      </right>
      <top/>
      <bottom style="medium">
        <color auto="1"/>
      </bottom>
      <diagonal/>
    </border>
    <border>
      <left/>
      <right/>
      <top style="thin">
        <color auto="1"/>
      </top>
      <bottom style="medium">
        <color auto="1"/>
      </bottom>
      <diagonal/>
    </border>
    <border>
      <left/>
      <right style="double">
        <color indexed="10"/>
      </right>
      <top style="thin">
        <color auto="1"/>
      </top>
      <bottom style="medium">
        <color auto="1"/>
      </bottom>
      <diagonal/>
    </border>
    <border>
      <left style="medium">
        <color indexed="10"/>
      </left>
      <right/>
      <top style="medium">
        <color indexed="10"/>
      </top>
      <bottom/>
      <diagonal/>
    </border>
    <border>
      <left style="medium">
        <color indexed="10"/>
      </left>
      <right style="medium">
        <color indexed="10"/>
      </right>
      <top style="medium">
        <color indexed="10"/>
      </top>
      <bottom style="medium">
        <color indexed="10"/>
      </bottom>
      <diagonal/>
    </border>
    <border>
      <left/>
      <right style="medium">
        <color indexed="10"/>
      </right>
      <top style="medium">
        <color indexed="10"/>
      </top>
      <bottom/>
      <diagonal/>
    </border>
    <border>
      <left style="medium">
        <color indexed="39"/>
      </left>
      <right/>
      <top style="thin">
        <color indexed="39"/>
      </top>
      <bottom/>
      <diagonal/>
    </border>
    <border>
      <left style="thin">
        <color indexed="39"/>
      </left>
      <right style="medium">
        <color indexed="39"/>
      </right>
      <top style="thin">
        <color indexed="39"/>
      </top>
      <bottom/>
      <diagonal/>
    </border>
    <border>
      <left/>
      <right style="thin">
        <color indexed="39"/>
      </right>
      <top style="thin">
        <color indexed="39"/>
      </top>
      <bottom/>
      <diagonal/>
    </border>
    <border>
      <left/>
      <right style="medium">
        <color indexed="39"/>
      </right>
      <top style="thin">
        <color indexed="39"/>
      </top>
      <bottom/>
      <diagonal/>
    </border>
    <border>
      <left style="medium">
        <color indexed="10"/>
      </left>
      <right style="medium">
        <color indexed="10"/>
      </right>
      <top style="medium">
        <color indexed="10"/>
      </top>
      <bottom/>
      <diagonal/>
    </border>
    <border>
      <left style="medium">
        <color indexed="10"/>
      </left>
      <right/>
      <top style="medium">
        <color indexed="10"/>
      </top>
      <bottom style="medium">
        <color indexed="10"/>
      </bottom>
      <diagonal/>
    </border>
    <border>
      <left/>
      <right style="medium">
        <color indexed="10"/>
      </right>
      <top style="medium">
        <color indexed="10"/>
      </top>
      <bottom style="medium">
        <color indexed="10"/>
      </bottom>
      <diagonal/>
    </border>
    <border>
      <left style="medium">
        <color indexed="10"/>
      </left>
      <right style="medium">
        <color indexed="10"/>
      </right>
      <top/>
      <bottom/>
      <diagonal/>
    </border>
    <border>
      <left style="medium">
        <color indexed="10"/>
      </left>
      <right style="medium">
        <color indexed="10"/>
      </right>
      <top style="thin">
        <color indexed="10"/>
      </top>
      <bottom style="medium">
        <color indexed="10"/>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indexed="39"/>
      </left>
      <right/>
      <top style="medium">
        <color indexed="39"/>
      </top>
      <bottom/>
      <diagonal/>
    </border>
    <border>
      <left style="thin">
        <color indexed="39"/>
      </left>
      <right/>
      <top style="medium">
        <color indexed="39"/>
      </top>
      <bottom style="medium">
        <color indexed="39"/>
      </bottom>
      <diagonal/>
    </border>
    <border>
      <left style="medium">
        <color indexed="39"/>
      </left>
      <right style="medium">
        <color indexed="39"/>
      </right>
      <top style="medium">
        <color indexed="39"/>
      </top>
      <bottom style="medium">
        <color indexed="39"/>
      </bottom>
      <diagonal/>
    </border>
    <border>
      <left style="medium">
        <color indexed="39"/>
      </left>
      <right/>
      <top style="thin">
        <color indexed="39"/>
      </top>
      <bottom style="thin">
        <color indexed="39"/>
      </bottom>
      <diagonal/>
    </border>
    <border>
      <left style="medium">
        <color indexed="39"/>
      </left>
      <right/>
      <top/>
      <bottom/>
      <diagonal/>
    </border>
    <border>
      <left/>
      <right style="thin">
        <color indexed="39"/>
      </right>
      <top/>
      <bottom/>
      <diagonal/>
    </border>
    <border>
      <left style="medium">
        <color indexed="39"/>
      </left>
      <right style="medium">
        <color indexed="39"/>
      </right>
      <top style="thin">
        <color indexed="39"/>
      </top>
      <bottom/>
      <diagonal/>
    </border>
    <border>
      <left style="medium">
        <color indexed="39"/>
      </left>
      <right style="medium">
        <color indexed="39"/>
      </right>
      <top style="medium">
        <color indexed="39"/>
      </top>
      <bottom style="thin">
        <color indexed="39"/>
      </bottom>
      <diagonal/>
    </border>
    <border>
      <left style="medium">
        <color indexed="39"/>
      </left>
      <right/>
      <top style="medium">
        <color indexed="39"/>
      </top>
      <bottom style="thin">
        <color indexed="39"/>
      </bottom>
      <diagonal/>
    </border>
    <border>
      <left style="thin">
        <color indexed="39"/>
      </left>
      <right style="medium">
        <color indexed="39"/>
      </right>
      <top style="medium">
        <color indexed="39"/>
      </top>
      <bottom style="thin">
        <color indexed="39"/>
      </bottom>
      <diagonal/>
    </border>
    <border>
      <left/>
      <right style="thin">
        <color indexed="39"/>
      </right>
      <top style="medium">
        <color indexed="39"/>
      </top>
      <bottom style="thin">
        <color indexed="39"/>
      </bottom>
      <diagonal/>
    </border>
    <border>
      <left/>
      <right style="medium">
        <color indexed="39"/>
      </right>
      <top style="medium">
        <color indexed="39"/>
      </top>
      <bottom style="thin">
        <color indexed="39"/>
      </bottom>
      <diagonal/>
    </border>
    <border>
      <left style="medium">
        <color indexed="39"/>
      </left>
      <right style="medium">
        <color indexed="39"/>
      </right>
      <top/>
      <bottom style="medium">
        <color indexed="39"/>
      </bottom>
      <diagonal/>
    </border>
    <border>
      <left style="medium">
        <color indexed="39"/>
      </left>
      <right/>
      <top/>
      <bottom style="medium">
        <color indexed="39"/>
      </bottom>
      <diagonal/>
    </border>
    <border>
      <left style="thin">
        <color indexed="39"/>
      </left>
      <right style="medium">
        <color indexed="39"/>
      </right>
      <top/>
      <bottom style="medium">
        <color indexed="39"/>
      </bottom>
      <diagonal/>
    </border>
    <border>
      <left/>
      <right style="thin">
        <color indexed="39"/>
      </right>
      <top/>
      <bottom style="medium">
        <color indexed="39"/>
      </bottom>
      <diagonal/>
    </border>
    <border>
      <left/>
      <right style="medium">
        <color indexed="39"/>
      </right>
      <top/>
      <bottom style="medium">
        <color indexed="39"/>
      </bottom>
      <diagonal/>
    </border>
    <border>
      <left/>
      <right style="thick">
        <color auto="1"/>
      </right>
      <top style="thick">
        <color auto="1"/>
      </top>
      <bottom/>
      <diagonal/>
    </border>
    <border>
      <left/>
      <right style="thick">
        <color auto="1"/>
      </right>
      <top/>
      <bottom/>
      <diagonal/>
    </border>
    <border>
      <left/>
      <right/>
      <top style="thin">
        <color auto="1"/>
      </top>
      <bottom style="thick">
        <color auto="1"/>
      </bottom>
      <diagonal/>
    </border>
    <border>
      <left/>
      <right style="double">
        <color auto="1"/>
      </right>
      <top style="dashed">
        <color auto="1"/>
      </top>
      <bottom style="dashed">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auto="1"/>
      </left>
      <right style="medium">
        <color auto="1"/>
      </right>
      <top style="thick">
        <color auto="1"/>
      </top>
      <bottom style="medium">
        <color auto="1"/>
      </bottom>
      <diagonal/>
    </border>
    <border>
      <left style="medium">
        <color auto="1"/>
      </left>
      <right style="medium">
        <color auto="1"/>
      </right>
      <top style="thin">
        <color auto="1"/>
      </top>
      <bottom style="thick">
        <color auto="1"/>
      </bottom>
      <diagonal/>
    </border>
    <border>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right style="thick">
        <color auto="1"/>
      </right>
      <top style="medium">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ck">
        <color auto="1"/>
      </right>
      <top style="medium">
        <color auto="1"/>
      </top>
      <bottom/>
      <diagonal/>
    </border>
    <border>
      <left style="medium">
        <color auto="1"/>
      </left>
      <right/>
      <top style="thick">
        <color auto="1"/>
      </top>
      <bottom/>
      <diagonal/>
    </border>
    <border>
      <left style="dotted">
        <color auto="1"/>
      </left>
      <right/>
      <top style="dashed">
        <color auto="1"/>
      </top>
      <bottom style="dotted">
        <color auto="1"/>
      </bottom>
      <diagonal/>
    </border>
    <border>
      <left/>
      <right/>
      <top style="dashed">
        <color auto="1"/>
      </top>
      <bottom style="dotted">
        <color auto="1"/>
      </bottom>
      <diagonal/>
    </border>
    <border>
      <left/>
      <right style="medium">
        <color auto="1"/>
      </right>
      <top style="thick">
        <color auto="1"/>
      </top>
      <bottom/>
      <diagonal/>
    </border>
    <border>
      <left style="medium">
        <color auto="1"/>
      </left>
      <right/>
      <top/>
      <bottom style="thin">
        <color auto="1"/>
      </bottom>
      <diagonal/>
    </border>
    <border>
      <left/>
      <right style="medium">
        <color auto="1"/>
      </right>
      <top/>
      <bottom style="thin">
        <color auto="1"/>
      </bottom>
      <diagonal/>
    </border>
    <border>
      <left/>
      <right style="medium">
        <color auto="1"/>
      </right>
      <top style="dashed">
        <color auto="1"/>
      </top>
      <bottom style="dashed">
        <color auto="1"/>
      </bottom>
      <diagonal/>
    </border>
    <border>
      <left style="thick">
        <color indexed="12"/>
      </left>
      <right/>
      <top style="thick">
        <color indexed="12"/>
      </top>
      <bottom/>
      <diagonal/>
    </border>
    <border>
      <left/>
      <right/>
      <top style="thick">
        <color indexed="12"/>
      </top>
      <bottom/>
      <diagonal/>
    </border>
    <border>
      <left/>
      <right style="thick">
        <color indexed="10"/>
      </right>
      <top style="thick">
        <color indexed="12"/>
      </top>
      <bottom/>
      <diagonal/>
    </border>
    <border>
      <left style="thick">
        <color indexed="12"/>
      </left>
      <right/>
      <top/>
      <bottom style="thick">
        <color indexed="10"/>
      </bottom>
      <diagonal/>
    </border>
    <border>
      <left/>
      <right/>
      <top/>
      <bottom style="thick">
        <color indexed="10"/>
      </bottom>
      <diagonal/>
    </border>
    <border>
      <left/>
      <right style="thick">
        <color indexed="10"/>
      </right>
      <top/>
      <bottom style="thick">
        <color indexed="10"/>
      </bottom>
      <diagonal/>
    </border>
    <border>
      <left/>
      <right/>
      <top/>
      <bottom style="double">
        <color auto="1"/>
      </bottom>
      <diagonal/>
    </border>
    <border>
      <left style="medium">
        <color auto="1"/>
      </left>
      <right/>
      <top style="double">
        <color auto="1"/>
      </top>
      <bottom style="medium">
        <color auto="1"/>
      </bottom>
      <diagonal/>
    </border>
    <border>
      <left/>
      <right/>
      <top style="double">
        <color auto="1"/>
      </top>
      <bottom style="medium">
        <color auto="1"/>
      </bottom>
      <diagonal/>
    </border>
    <border>
      <left/>
      <right style="medium">
        <color auto="1"/>
      </right>
      <top style="double">
        <color auto="1"/>
      </top>
      <bottom style="medium">
        <color auto="1"/>
      </bottom>
      <diagonal/>
    </border>
    <border>
      <left style="medium">
        <color auto="1"/>
      </left>
      <right style="thin">
        <color auto="1"/>
      </right>
      <top style="thin">
        <color auto="1"/>
      </top>
      <bottom style="medium">
        <color auto="1"/>
      </bottom>
      <diagonal/>
    </border>
    <border>
      <left/>
      <right style="medium">
        <color auto="1"/>
      </right>
      <top style="thin">
        <color auto="1"/>
      </top>
      <bottom style="thick">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ck">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thick">
        <color auto="1"/>
      </right>
      <top style="medium">
        <color auto="1"/>
      </top>
      <bottom/>
      <diagonal/>
    </border>
    <border>
      <left style="thin">
        <color auto="1"/>
      </left>
      <right style="thick">
        <color auto="1"/>
      </right>
      <top/>
      <bottom style="medium">
        <color auto="1"/>
      </bottom>
      <diagonal/>
    </border>
    <border>
      <left/>
      <right style="thick">
        <color auto="1"/>
      </right>
      <top/>
      <bottom style="double">
        <color auto="1"/>
      </bottom>
      <diagonal/>
    </border>
    <border>
      <left style="thick">
        <color auto="1"/>
      </left>
      <right style="medium">
        <color auto="1"/>
      </right>
      <top style="thick">
        <color auto="1"/>
      </top>
      <bottom style="medium">
        <color auto="1"/>
      </bottom>
      <diagonal/>
    </border>
    <border>
      <left style="thick">
        <color auto="1"/>
      </left>
      <right style="medium">
        <color auto="1"/>
      </right>
      <top style="medium">
        <color auto="1"/>
      </top>
      <bottom/>
      <diagonal/>
    </border>
    <border>
      <left style="thick">
        <color auto="1"/>
      </left>
      <right/>
      <top style="medium">
        <color auto="1"/>
      </top>
      <bottom style="medium">
        <color auto="1"/>
      </bottom>
      <diagonal/>
    </border>
    <border>
      <left/>
      <right style="thick">
        <color auto="1"/>
      </right>
      <top style="medium">
        <color auto="1"/>
      </top>
      <bottom style="thin">
        <color auto="1"/>
      </bottom>
      <diagonal/>
    </border>
    <border>
      <left style="medium">
        <color auto="1"/>
      </left>
      <right style="thick">
        <color auto="1"/>
      </right>
      <top style="thin">
        <color auto="1"/>
      </top>
      <bottom style="thick">
        <color auto="1"/>
      </bottom>
      <diagonal/>
    </border>
    <border>
      <left/>
      <right style="thin">
        <color auto="1"/>
      </right>
      <top style="thin">
        <color auto="1"/>
      </top>
      <bottom style="thick">
        <color auto="1"/>
      </bottom>
      <diagonal/>
    </border>
    <border>
      <left/>
      <right/>
      <top style="medium">
        <color indexed="10"/>
      </top>
      <bottom style="medium">
        <color indexed="10"/>
      </bottom>
      <diagonal/>
    </border>
    <border>
      <left style="thin">
        <color indexed="10"/>
      </left>
      <right/>
      <top style="medium">
        <color indexed="10"/>
      </top>
      <bottom style="thin">
        <color indexed="10"/>
      </bottom>
      <diagonal/>
    </border>
    <border>
      <left/>
      <right/>
      <top style="medium">
        <color indexed="10"/>
      </top>
      <bottom style="thin">
        <color indexed="10"/>
      </bottom>
      <diagonal/>
    </border>
    <border>
      <left style="thin">
        <color indexed="39"/>
      </left>
      <right/>
      <top style="medium">
        <color indexed="39"/>
      </top>
      <bottom style="thin">
        <color indexed="39"/>
      </bottom>
      <diagonal/>
    </border>
    <border>
      <left/>
      <right/>
      <top style="medium">
        <color indexed="39"/>
      </top>
      <bottom style="thin">
        <color indexed="39"/>
      </bottom>
      <diagonal/>
    </border>
    <border>
      <left style="medium">
        <color indexed="39"/>
      </left>
      <right/>
      <top style="medium">
        <color indexed="39"/>
      </top>
      <bottom style="medium">
        <color indexed="39"/>
      </bottom>
      <diagonal/>
    </border>
    <border>
      <left/>
      <right style="medium">
        <color indexed="39"/>
      </right>
      <top style="medium">
        <color indexed="39"/>
      </top>
      <bottom style="medium">
        <color indexed="39"/>
      </bottom>
      <diagonal/>
    </border>
    <border>
      <left/>
      <right/>
      <top style="medium">
        <color indexed="39"/>
      </top>
      <bottom style="medium">
        <color indexed="39"/>
      </bottom>
      <diagonal/>
    </border>
    <border>
      <left style="medium">
        <color indexed="10"/>
      </left>
      <right/>
      <top style="medium">
        <color indexed="10"/>
      </top>
      <bottom style="thin">
        <color indexed="10"/>
      </bottom>
      <diagonal/>
    </border>
    <border>
      <left style="medium">
        <color indexed="10"/>
      </left>
      <right/>
      <top style="thin">
        <color indexed="10"/>
      </top>
      <bottom style="medium">
        <color indexed="10"/>
      </bottom>
      <diagonal/>
    </border>
    <border>
      <left/>
      <right/>
      <top style="thin">
        <color indexed="10"/>
      </top>
      <bottom style="medium">
        <color indexed="10"/>
      </bottom>
      <diagonal/>
    </border>
    <border>
      <left style="medium">
        <color indexed="10"/>
      </left>
      <right/>
      <top/>
      <bottom style="medium">
        <color indexed="10"/>
      </bottom>
      <diagonal/>
    </border>
    <border>
      <left/>
      <right style="medium">
        <color indexed="10"/>
      </right>
      <top/>
      <bottom style="medium">
        <color indexed="10"/>
      </bottom>
      <diagonal/>
    </border>
    <border>
      <left/>
      <right/>
      <top style="medium">
        <color indexed="10"/>
      </top>
      <bottom/>
      <diagonal/>
    </border>
    <border>
      <left/>
      <right/>
      <top/>
      <bottom style="medium">
        <color indexed="10"/>
      </bottom>
      <diagonal/>
    </border>
    <border>
      <left/>
      <right style="thin">
        <color indexed="39"/>
      </right>
      <top style="medium">
        <color indexed="39"/>
      </top>
      <bottom style="medium">
        <color indexed="39"/>
      </bottom>
      <diagonal/>
    </border>
    <border>
      <left/>
      <right/>
      <top style="medium">
        <color indexed="39"/>
      </top>
      <bottom/>
      <diagonal/>
    </border>
    <border>
      <left/>
      <right/>
      <top/>
      <bottom style="medium">
        <color indexed="39"/>
      </bottom>
      <diagonal/>
    </border>
    <border>
      <left style="thin">
        <color indexed="39"/>
      </left>
      <right/>
      <top/>
      <bottom/>
      <diagonal/>
    </border>
    <border>
      <left style="thin">
        <color auto="1"/>
      </left>
      <right/>
      <top/>
      <bottom style="medium">
        <color auto="1"/>
      </bottom>
      <diagonal/>
    </border>
    <border>
      <left style="double">
        <color indexed="10"/>
      </left>
      <right/>
      <top style="thin">
        <color auto="1"/>
      </top>
      <bottom/>
      <diagonal/>
    </border>
    <border>
      <left style="double">
        <color indexed="10"/>
      </left>
      <right/>
      <top/>
      <bottom style="medium">
        <color auto="1"/>
      </bottom>
      <diagonal/>
    </border>
    <border>
      <left style="medium">
        <color auto="1"/>
      </left>
      <right style="thin">
        <color auto="1"/>
      </right>
      <top/>
      <bottom/>
      <diagonal/>
    </border>
    <border>
      <left style="thin">
        <color auto="1"/>
      </left>
      <right/>
      <top style="medium">
        <color auto="1"/>
      </top>
      <bottom style="thin">
        <color auto="1"/>
      </bottom>
      <diagonal/>
    </border>
    <border>
      <left/>
      <right/>
      <top style="thin">
        <color auto="1"/>
      </top>
      <bottom/>
      <diagonal/>
    </border>
    <border>
      <left style="double">
        <color indexed="10"/>
      </left>
      <right/>
      <top/>
      <bottom style="thin">
        <color auto="1"/>
      </bottom>
      <diagonal/>
    </border>
    <border>
      <left style="double">
        <color indexed="10"/>
      </left>
      <right/>
      <top/>
      <bottom/>
      <diagonal/>
    </border>
    <border>
      <left style="thick">
        <color auto="1"/>
      </left>
      <right/>
      <top/>
      <bottom style="medium">
        <color auto="1"/>
      </bottom>
      <diagonal/>
    </border>
    <border diagonalUp="1">
      <left style="thick">
        <color auto="1"/>
      </left>
      <right style="medium">
        <color auto="1"/>
      </right>
      <top/>
      <bottom/>
      <diagonal style="thin">
        <color auto="1"/>
      </diagonal>
    </border>
    <border diagonalUp="1">
      <left style="thick">
        <color auto="1"/>
      </left>
      <right style="medium">
        <color auto="1"/>
      </right>
      <top/>
      <bottom style="thick">
        <color auto="1"/>
      </bottom>
      <diagonal style="thin">
        <color auto="1"/>
      </diagonal>
    </border>
    <border diagonalUp="1">
      <left style="medium">
        <color auto="1"/>
      </left>
      <right style="thin">
        <color auto="1"/>
      </right>
      <top style="thin">
        <color auto="1"/>
      </top>
      <bottom/>
      <diagonal style="thin">
        <color auto="1"/>
      </diagonal>
    </border>
    <border diagonalUp="1">
      <left style="medium">
        <color auto="1"/>
      </left>
      <right style="thin">
        <color auto="1"/>
      </right>
      <top/>
      <bottom/>
      <diagonal style="thin">
        <color auto="1"/>
      </diagonal>
    </border>
    <border diagonalUp="1">
      <left style="medium">
        <color auto="1"/>
      </left>
      <right style="thin">
        <color auto="1"/>
      </right>
      <top/>
      <bottom style="thick">
        <color auto="1"/>
      </bottom>
      <diagonal style="thin">
        <color auto="1"/>
      </diagonal>
    </border>
    <border diagonalUp="1">
      <left style="thin">
        <color auto="1"/>
      </left>
      <right style="thick">
        <color auto="1"/>
      </right>
      <top style="thin">
        <color auto="1"/>
      </top>
      <bottom/>
      <diagonal style="thin">
        <color auto="1"/>
      </diagonal>
    </border>
    <border diagonalUp="1">
      <left style="thin">
        <color auto="1"/>
      </left>
      <right style="thick">
        <color auto="1"/>
      </right>
      <top/>
      <bottom style="thick">
        <color auto="1"/>
      </bottom>
      <diagonal style="thin">
        <color auto="1"/>
      </diagonal>
    </border>
    <border>
      <left style="thick">
        <color auto="1"/>
      </left>
      <right/>
      <top style="thin">
        <color auto="1"/>
      </top>
      <bottom/>
      <diagonal/>
    </border>
    <border>
      <left style="thick">
        <color auto="1"/>
      </left>
      <right/>
      <top/>
      <bottom style="thick">
        <color auto="1"/>
      </bottom>
      <diagonal/>
    </border>
    <border>
      <left/>
      <right/>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medium">
        <color auto="1"/>
      </left>
      <right/>
      <top style="thick">
        <color auto="1"/>
      </top>
      <bottom style="medium">
        <color auto="1"/>
      </bottom>
      <diagonal/>
    </border>
    <border>
      <left style="thick">
        <color auto="1"/>
      </left>
      <right style="medium">
        <color auto="1"/>
      </right>
      <top/>
      <bottom/>
      <diagonal/>
    </border>
    <border>
      <left style="thick">
        <color auto="1"/>
      </left>
      <right style="medium">
        <color auto="1"/>
      </right>
      <top/>
      <bottom style="medium">
        <color auto="1"/>
      </bottom>
      <diagonal/>
    </border>
    <border>
      <left/>
      <right style="medium">
        <color auto="1"/>
      </right>
      <top style="thin">
        <color auto="1"/>
      </top>
      <bottom/>
      <diagonal/>
    </border>
    <border>
      <left style="medium">
        <color auto="1"/>
      </left>
      <right style="thin">
        <color auto="1"/>
      </right>
      <top/>
      <bottom style="thin">
        <color auto="1"/>
      </bottom>
      <diagonal/>
    </border>
    <border>
      <left style="medium">
        <color indexed="10"/>
      </left>
      <right style="medium">
        <color indexed="10"/>
      </right>
      <top/>
      <bottom style="medium">
        <color indexed="10"/>
      </bottom>
      <diagonal/>
    </border>
    <border>
      <left style="medium">
        <color indexed="10"/>
      </left>
      <right/>
      <top/>
      <bottom/>
      <diagonal/>
    </border>
    <border>
      <left/>
      <right style="medium">
        <color indexed="10"/>
      </right>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ck">
        <color auto="1"/>
      </left>
      <right/>
      <top/>
      <bottom style="thin">
        <color auto="1"/>
      </bottom>
      <diagonal/>
    </border>
    <border>
      <left/>
      <right style="thin">
        <color auto="1"/>
      </right>
      <top style="medium">
        <color auto="1"/>
      </top>
      <bottom style="medium">
        <color auto="1"/>
      </bottom>
      <diagonal/>
    </border>
    <border>
      <left style="double">
        <color theme="1"/>
      </left>
      <right/>
      <top style="double">
        <color theme="1"/>
      </top>
      <bottom/>
      <diagonal/>
    </border>
    <border>
      <left/>
      <right/>
      <top style="double">
        <color theme="1"/>
      </top>
      <bottom/>
      <diagonal/>
    </border>
    <border>
      <left/>
      <right style="double">
        <color theme="1"/>
      </right>
      <top style="double">
        <color theme="1"/>
      </top>
      <bottom/>
      <diagonal/>
    </border>
    <border>
      <left style="double">
        <color theme="1"/>
      </left>
      <right/>
      <top/>
      <bottom/>
      <diagonal/>
    </border>
    <border>
      <left/>
      <right style="double">
        <color theme="1"/>
      </right>
      <top/>
      <bottom/>
      <diagonal/>
    </border>
    <border>
      <left style="double">
        <color theme="1"/>
      </left>
      <right/>
      <top/>
      <bottom style="double">
        <color theme="1"/>
      </bottom>
      <diagonal/>
    </border>
    <border>
      <left/>
      <right/>
      <top/>
      <bottom style="double">
        <color theme="1"/>
      </bottom>
      <diagonal/>
    </border>
    <border>
      <left/>
      <right style="double">
        <color theme="1"/>
      </right>
      <top/>
      <bottom style="double">
        <color theme="1"/>
      </bottom>
      <diagonal/>
    </border>
    <border>
      <left style="double">
        <color theme="1"/>
      </left>
      <right/>
      <top style="medium">
        <color auto="1"/>
      </top>
      <bottom/>
      <diagonal/>
    </border>
    <border>
      <left style="double">
        <color theme="1"/>
      </left>
      <right/>
      <top/>
      <bottom style="medium">
        <color auto="1"/>
      </bottom>
      <diagonal/>
    </border>
    <border>
      <left style="thick">
        <color auto="1"/>
      </left>
      <right/>
      <top style="medium">
        <color auto="1"/>
      </top>
      <bottom style="thin">
        <color auto="1"/>
      </bottom>
      <diagonal/>
    </border>
    <border>
      <left/>
      <right style="thin">
        <color auto="1"/>
      </right>
      <top style="medium">
        <color auto="1"/>
      </top>
      <bottom style="thin">
        <color auto="1"/>
      </bottom>
      <diagonal/>
    </border>
    <border diagonalUp="1">
      <left style="thin">
        <color auto="1"/>
      </left>
      <right style="thin">
        <color auto="1"/>
      </right>
      <top/>
      <bottom style="thin">
        <color auto="1"/>
      </bottom>
      <diagonal style="thin">
        <color auto="1"/>
      </diagonal>
    </border>
    <border diagonalUp="1">
      <left/>
      <right/>
      <top/>
      <bottom/>
      <diagonal style="thin">
        <color auto="1"/>
      </diagonal>
    </border>
    <border diagonalUp="1">
      <left/>
      <right/>
      <top/>
      <bottom style="medium">
        <color auto="1"/>
      </bottom>
      <diagonal style="thin">
        <color auto="1"/>
      </diagonal>
    </border>
    <border diagonalUp="1">
      <left/>
      <right/>
      <top style="medium">
        <color auto="1"/>
      </top>
      <bottom/>
      <diagonal style="thin">
        <color auto="1"/>
      </diagonal>
    </border>
    <border diagonalUp="1">
      <left/>
      <right style="thick">
        <color auto="1"/>
      </right>
      <top/>
      <bottom style="thin">
        <color auto="1"/>
      </bottom>
      <diagonal style="thin">
        <color auto="1"/>
      </diagonal>
    </border>
    <border diagonalUp="1">
      <left/>
      <right/>
      <top/>
      <bottom style="thin">
        <color auto="1"/>
      </bottom>
      <diagonal style="thin">
        <color auto="1"/>
      </diagonal>
    </border>
    <border diagonalUp="1">
      <left style="thick">
        <color auto="1"/>
      </left>
      <right/>
      <top/>
      <bottom style="thin">
        <color auto="1"/>
      </bottom>
      <diagonal style="thin">
        <color auto="1"/>
      </diagonal>
    </border>
    <border diagonalUp="1">
      <left style="thin">
        <color auto="1"/>
      </left>
      <right style="thick">
        <color auto="1"/>
      </right>
      <top/>
      <bottom style="thin">
        <color auto="1"/>
      </bottom>
      <diagonal style="thin">
        <color auto="1"/>
      </diagonal>
    </border>
    <border diagonalUp="1">
      <left style="medium">
        <color auto="1"/>
      </left>
      <right style="medium">
        <color auto="1"/>
      </right>
      <top style="medium">
        <color auto="1"/>
      </top>
      <bottom/>
      <diagonal style="thin">
        <color auto="1"/>
      </diagonal>
    </border>
    <border diagonalUp="1">
      <left style="medium">
        <color auto="1"/>
      </left>
      <right style="medium">
        <color auto="1"/>
      </right>
      <top/>
      <bottom style="thin">
        <color auto="1"/>
      </bottom>
      <diagonal style="thin">
        <color auto="1"/>
      </diagonal>
    </border>
    <border diagonalUp="1">
      <left style="medium">
        <color auto="1"/>
      </left>
      <right style="medium">
        <color auto="1"/>
      </right>
      <top/>
      <bottom/>
      <diagonal style="thin">
        <color auto="1"/>
      </diagonal>
    </border>
    <border>
      <left style="thin">
        <color auto="1"/>
      </left>
      <right style="thick">
        <color auto="1"/>
      </right>
      <top/>
      <bottom style="thin">
        <color auto="1"/>
      </bottom>
      <diagonal/>
    </border>
    <border>
      <left style="thin">
        <color auto="1"/>
      </left>
      <right style="thick">
        <color auto="1"/>
      </right>
      <top style="thin">
        <color auto="1"/>
      </top>
      <bottom style="medium">
        <color auto="1"/>
      </bottom>
      <diagonal/>
    </border>
    <border>
      <left/>
      <right style="thick">
        <color auto="1"/>
      </right>
      <top/>
      <bottom style="medium">
        <color auto="1"/>
      </bottom>
      <diagonal/>
    </border>
    <border>
      <left style="thick">
        <color auto="1"/>
      </left>
      <right style="thin">
        <color auto="1"/>
      </right>
      <top style="thin">
        <color auto="1"/>
      </top>
      <bottom style="medium">
        <color auto="1"/>
      </bottom>
      <diagonal/>
    </border>
    <border diagonalUp="1">
      <left style="thin">
        <color auto="1"/>
      </left>
      <right/>
      <top/>
      <bottom style="thin">
        <color auto="1"/>
      </bottom>
      <diagonal style="thin">
        <color auto="1"/>
      </diagonal>
    </border>
    <border diagonalUp="1">
      <left style="thick">
        <color auto="1"/>
      </left>
      <right style="medium">
        <color auto="1"/>
      </right>
      <top style="medium">
        <color auto="1"/>
      </top>
      <bottom/>
      <diagonal style="thin">
        <color auto="1"/>
      </diagonal>
    </border>
    <border diagonalUp="1">
      <left style="thick">
        <color auto="1"/>
      </left>
      <right style="medium">
        <color auto="1"/>
      </right>
      <top/>
      <bottom style="thin">
        <color auto="1"/>
      </bottom>
      <diagonal style="thin">
        <color auto="1"/>
      </diagonal>
    </border>
    <border diagonalUp="1">
      <left style="thick">
        <color auto="1"/>
      </left>
      <right style="medium">
        <color auto="1"/>
      </right>
      <top style="thin">
        <color auto="1"/>
      </top>
      <bottom/>
      <diagonal style="thin">
        <color auto="1"/>
      </diagonal>
    </border>
    <border>
      <left style="thin">
        <color auto="1"/>
      </left>
      <right/>
      <top/>
      <bottom style="thick">
        <color auto="1"/>
      </bottom>
      <diagonal/>
    </border>
    <border>
      <left/>
      <right style="medium">
        <color auto="1"/>
      </right>
      <top/>
      <bottom style="thick">
        <color auto="1"/>
      </bottom>
      <diagonal/>
    </border>
    <border>
      <left/>
      <right style="thick">
        <color auto="1"/>
      </right>
      <top style="thin">
        <color auto="1"/>
      </top>
      <bottom/>
      <diagonal/>
    </border>
    <border>
      <left style="thin">
        <color auto="1"/>
      </left>
      <right style="medium">
        <color auto="1"/>
      </right>
      <top/>
      <bottom style="thin">
        <color auto="1"/>
      </bottom>
      <diagonal/>
    </border>
    <border>
      <left/>
      <right style="double">
        <color indexed="10"/>
      </right>
      <top/>
      <bottom style="thin">
        <color auto="1"/>
      </bottom>
      <diagonal/>
    </border>
    <border>
      <left style="double">
        <color indexed="10"/>
      </left>
      <right style="thin">
        <color auto="1"/>
      </right>
      <top style="medium">
        <color auto="1"/>
      </top>
      <bottom/>
      <diagonal/>
    </border>
    <border>
      <left style="double">
        <color indexed="10"/>
      </left>
      <right style="thin">
        <color auto="1"/>
      </right>
      <top/>
      <bottom style="thin">
        <color auto="1"/>
      </bottom>
      <diagonal/>
    </border>
    <border>
      <left style="double">
        <color indexed="10"/>
      </left>
      <right style="thin">
        <color auto="1"/>
      </right>
      <top/>
      <bottom/>
      <diagonal/>
    </border>
    <border>
      <left style="double">
        <color indexed="10"/>
      </left>
      <right style="thin">
        <color auto="1"/>
      </right>
      <top/>
      <bottom style="medium">
        <color auto="1"/>
      </bottom>
      <diagonal/>
    </border>
    <border>
      <left/>
      <right style="double">
        <color indexed="10"/>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double">
        <color indexed="10"/>
      </right>
      <top style="double">
        <color indexed="10"/>
      </top>
      <bottom style="double">
        <color indexed="10"/>
      </bottom>
      <diagonal/>
    </border>
    <border>
      <left/>
      <right/>
      <top style="thin">
        <color auto="1"/>
      </top>
      <bottom style="medium">
        <color auto="1"/>
      </bottom>
      <diagonal/>
    </border>
    <border>
      <left style="thin">
        <color auto="1"/>
      </left>
      <right/>
      <top style="thin">
        <color auto="1"/>
      </top>
      <bottom style="thin">
        <color auto="1"/>
      </bottom>
      <diagonal/>
    </border>
    <border>
      <left/>
      <right style="double">
        <color rgb="FFFF0000"/>
      </right>
      <top style="thin">
        <color auto="1"/>
      </top>
      <bottom style="thin">
        <color auto="1"/>
      </bottom>
      <diagonal/>
    </border>
    <border>
      <left/>
      <right style="thick">
        <color auto="1"/>
      </right>
      <top style="medium">
        <color auto="1"/>
      </top>
      <bottom style="medium">
        <color auto="1"/>
      </bottom>
      <diagonal/>
    </border>
    <border>
      <left style="medium">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diagonalUp="1">
      <left style="medium">
        <color auto="1"/>
      </left>
      <right style="medium">
        <color auto="1"/>
      </right>
      <top/>
      <bottom style="medium">
        <color auto="1"/>
      </bottom>
      <diagonal style="thin">
        <color auto="1"/>
      </diagonal>
    </border>
    <border>
      <left style="thin">
        <color indexed="64"/>
      </left>
      <right/>
      <top/>
      <bottom/>
      <diagonal/>
    </border>
    <border>
      <left/>
      <right style="thick">
        <color auto="1"/>
      </right>
      <top/>
      <bottom style="thin">
        <color auto="1"/>
      </bottom>
      <diagonal/>
    </border>
    <border>
      <left style="medium">
        <color theme="1"/>
      </left>
      <right/>
      <top style="medium">
        <color theme="1"/>
      </top>
      <bottom style="thin">
        <color auto="1"/>
      </bottom>
      <diagonal/>
    </border>
    <border>
      <left/>
      <right style="thin">
        <color auto="1"/>
      </right>
      <top style="medium">
        <color theme="1"/>
      </top>
      <bottom style="thin">
        <color auto="1"/>
      </bottom>
      <diagonal/>
    </border>
    <border>
      <left style="thin">
        <color auto="1"/>
      </left>
      <right/>
      <top style="medium">
        <color theme="1"/>
      </top>
      <bottom style="thin">
        <color auto="1"/>
      </bottom>
      <diagonal/>
    </border>
    <border>
      <left/>
      <right style="medium">
        <color theme="1"/>
      </right>
      <top style="medium">
        <color theme="1"/>
      </top>
      <bottom style="thin">
        <color auto="1"/>
      </bottom>
      <diagonal/>
    </border>
    <border>
      <left style="medium">
        <color theme="1"/>
      </left>
      <right/>
      <top style="thin">
        <color auto="1"/>
      </top>
      <bottom style="thin">
        <color auto="1"/>
      </bottom>
      <diagonal/>
    </border>
    <border>
      <left/>
      <right style="medium">
        <color theme="1"/>
      </right>
      <top style="thin">
        <color auto="1"/>
      </top>
      <bottom style="thin">
        <color auto="1"/>
      </bottom>
      <diagonal/>
    </border>
    <border>
      <left style="medium">
        <color theme="1"/>
      </left>
      <right/>
      <top/>
      <bottom style="medium">
        <color theme="1"/>
      </bottom>
      <diagonal/>
    </border>
    <border>
      <left/>
      <right/>
      <top/>
      <bottom style="medium">
        <color theme="1"/>
      </bottom>
      <diagonal/>
    </border>
    <border>
      <left style="thin">
        <color auto="1"/>
      </left>
      <right/>
      <top/>
      <bottom style="medium">
        <color theme="1"/>
      </bottom>
      <diagonal/>
    </border>
    <border>
      <left/>
      <right style="medium">
        <color theme="1"/>
      </right>
      <top/>
      <bottom style="medium">
        <color theme="1"/>
      </bottom>
      <diagonal/>
    </border>
    <border>
      <left/>
      <right/>
      <top style="medium">
        <color theme="1"/>
      </top>
      <bottom style="thin">
        <color auto="1"/>
      </bottom>
      <diagonal/>
    </border>
    <border>
      <left style="medium">
        <color theme="1"/>
      </left>
      <right/>
      <top style="thin">
        <color auto="1"/>
      </top>
      <bottom style="medium">
        <color theme="1"/>
      </bottom>
      <diagonal/>
    </border>
    <border>
      <left/>
      <right/>
      <top style="thin">
        <color auto="1"/>
      </top>
      <bottom style="medium">
        <color theme="1"/>
      </bottom>
      <diagonal/>
    </border>
    <border>
      <left style="medium">
        <color indexed="39"/>
      </left>
      <right style="thin">
        <color indexed="39"/>
      </right>
      <top style="thin">
        <color indexed="39"/>
      </top>
      <bottom style="thin">
        <color indexed="39"/>
      </bottom>
      <diagonal/>
    </border>
    <border>
      <left style="medium">
        <color indexed="39"/>
      </left>
      <right style="thin">
        <color indexed="39"/>
      </right>
      <top style="thin">
        <color indexed="39"/>
      </top>
      <bottom style="medium">
        <color indexed="39"/>
      </bottom>
      <diagonal/>
    </border>
    <border>
      <left/>
      <right style="medium">
        <color indexed="39"/>
      </right>
      <top style="thin">
        <color indexed="39"/>
      </top>
      <bottom style="medium">
        <color indexed="39"/>
      </bottom>
      <diagonal/>
    </border>
    <border>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double">
        <color theme="1"/>
      </left>
      <right/>
      <top style="medium">
        <color indexed="64"/>
      </top>
      <bottom style="medium">
        <color auto="1"/>
      </bottom>
      <diagonal/>
    </border>
    <border>
      <left/>
      <right style="medium">
        <color auto="1"/>
      </right>
      <top style="thick">
        <color auto="1"/>
      </top>
      <bottom style="medium">
        <color auto="1"/>
      </bottom>
      <diagonal/>
    </border>
    <border>
      <left/>
      <right style="thick">
        <color auto="1"/>
      </right>
      <top style="medium">
        <color theme="1"/>
      </top>
      <bottom style="thin">
        <color auto="1"/>
      </bottom>
      <diagonal/>
    </border>
    <border>
      <left/>
      <right style="thick">
        <color auto="1"/>
      </right>
      <top/>
      <bottom style="medium">
        <color theme="1"/>
      </bottom>
      <diagonal/>
    </border>
    <border>
      <left style="medium">
        <color indexed="39"/>
      </left>
      <right/>
      <top style="medium">
        <color indexed="39"/>
      </top>
      <bottom/>
      <diagonal/>
    </border>
    <border>
      <left style="thin">
        <color indexed="39"/>
      </left>
      <right style="medium">
        <color indexed="39"/>
      </right>
      <top style="medium">
        <color indexed="39"/>
      </top>
      <bottom/>
      <diagonal/>
    </border>
    <border>
      <left/>
      <right style="thin">
        <color indexed="39"/>
      </right>
      <top style="medium">
        <color indexed="39"/>
      </top>
      <bottom/>
      <diagonal/>
    </border>
    <border>
      <left/>
      <right/>
      <top style="medium">
        <color indexed="39"/>
      </top>
      <bottom/>
      <diagonal/>
    </border>
    <border>
      <left style="thin">
        <color indexed="39"/>
      </left>
      <right style="medium">
        <color indexed="39"/>
      </right>
      <top style="medium">
        <color indexed="39"/>
      </top>
      <bottom style="medium">
        <color indexed="39"/>
      </bottom>
      <diagonal/>
    </border>
    <border>
      <left style="double">
        <color indexed="10"/>
      </left>
      <right style="double">
        <color indexed="10"/>
      </right>
      <top/>
      <bottom style="double">
        <color indexed="10"/>
      </bottom>
      <diagonal/>
    </border>
    <border>
      <left/>
      <right style="double">
        <color indexed="10"/>
      </right>
      <top/>
      <bottom style="medium">
        <color theme="1"/>
      </bottom>
      <diagonal/>
    </border>
    <border>
      <left style="thin">
        <color auto="1"/>
      </left>
      <right/>
      <top style="medium">
        <color auto="1"/>
      </top>
      <bottom style="thin">
        <color theme="1"/>
      </bottom>
      <diagonal/>
    </border>
    <border>
      <left/>
      <right style="double">
        <color indexed="10"/>
      </right>
      <top style="medium">
        <color auto="1"/>
      </top>
      <bottom style="thin">
        <color theme="1"/>
      </bottom>
      <diagonal/>
    </border>
    <border>
      <left style="thin">
        <color indexed="64"/>
      </left>
      <right/>
      <top style="thin">
        <color theme="1"/>
      </top>
      <bottom style="medium">
        <color indexed="64"/>
      </bottom>
      <diagonal/>
    </border>
    <border>
      <left/>
      <right style="double">
        <color indexed="10"/>
      </right>
      <top style="thin">
        <color theme="1"/>
      </top>
      <bottom style="medium">
        <color indexed="64"/>
      </bottom>
      <diagonal/>
    </border>
    <border>
      <left style="double">
        <color indexed="10"/>
      </left>
      <right style="thin">
        <color auto="1"/>
      </right>
      <top/>
      <bottom style="medium">
        <color theme="1"/>
      </bottom>
      <diagonal/>
    </border>
    <border>
      <left style="thin">
        <color indexed="64"/>
      </left>
      <right/>
      <top/>
      <bottom style="thin">
        <color theme="1"/>
      </bottom>
      <diagonal/>
    </border>
    <border>
      <left/>
      <right style="double">
        <color indexed="10"/>
      </right>
      <top/>
      <bottom style="thin">
        <color theme="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63" fillId="0" borderId="0" applyNumberFormat="0" applyFill="0" applyBorder="0" applyAlignment="0" applyProtection="0"/>
  </cellStyleXfs>
  <cellXfs count="1390">
    <xf numFmtId="0" fontId="0" fillId="0" borderId="0" xfId="0"/>
    <xf numFmtId="0" fontId="0" fillId="0" borderId="0" xfId="0" applyAlignment="1">
      <alignment horizontal="center"/>
    </xf>
    <xf numFmtId="0" fontId="0" fillId="0" borderId="0" xfId="0" applyAlignment="1">
      <alignment horizontal="right"/>
    </xf>
    <xf numFmtId="1" fontId="0" fillId="0" borderId="0" xfId="0" quotePrefix="1" applyNumberFormat="1"/>
    <xf numFmtId="1" fontId="0" fillId="0" borderId="0" xfId="0" applyNumberFormat="1"/>
    <xf numFmtId="0" fontId="6" fillId="0" borderId="0" xfId="0" applyFont="1" applyAlignment="1">
      <alignment horizontal="center" vertical="center"/>
    </xf>
    <xf numFmtId="0" fontId="4" fillId="0" borderId="0" xfId="0" applyFont="1"/>
    <xf numFmtId="0" fontId="0" fillId="2" borderId="1" xfId="0" applyFill="1" applyBorder="1" applyAlignment="1" applyProtection="1">
      <alignment horizontal="center" vertical="center"/>
      <protection hidden="1"/>
    </xf>
    <xf numFmtId="0" fontId="0" fillId="3" borderId="2" xfId="0" applyFill="1" applyBorder="1" applyAlignment="1" applyProtection="1">
      <alignment horizontal="center"/>
      <protection locked="0" hidden="1"/>
    </xf>
    <xf numFmtId="1" fontId="0" fillId="0" borderId="0" xfId="0" quotePrefix="1" applyNumberFormat="1" applyProtection="1">
      <protection hidden="1"/>
    </xf>
    <xf numFmtId="0" fontId="0" fillId="0" borderId="0" xfId="0" applyProtection="1">
      <protection hidden="1"/>
    </xf>
    <xf numFmtId="0" fontId="0" fillId="0" borderId="0" xfId="0" quotePrefix="1"/>
    <xf numFmtId="0" fontId="0" fillId="0" borderId="7" xfId="0" applyBorder="1" applyProtection="1">
      <protection hidden="1"/>
    </xf>
    <xf numFmtId="0" fontId="0" fillId="0" borderId="9" xfId="0" applyBorder="1"/>
    <xf numFmtId="1" fontId="0" fillId="0" borderId="10" xfId="0" applyNumberFormat="1" applyBorder="1"/>
    <xf numFmtId="0" fontId="0" fillId="0" borderId="11" xfId="0" applyBorder="1"/>
    <xf numFmtId="0" fontId="0" fillId="0" borderId="12" xfId="0" applyBorder="1"/>
    <xf numFmtId="0" fontId="0" fillId="0" borderId="10" xfId="0" applyBorder="1"/>
    <xf numFmtId="0" fontId="0" fillId="0" borderId="1" xfId="0" applyBorder="1"/>
    <xf numFmtId="16" fontId="0" fillId="0" borderId="13" xfId="0" quotePrefix="1" applyNumberFormat="1" applyBorder="1" applyAlignment="1">
      <alignment horizontal="center"/>
    </xf>
    <xf numFmtId="16" fontId="0" fillId="0" borderId="14" xfId="0" quotePrefix="1" applyNumberFormat="1" applyBorder="1" applyAlignment="1">
      <alignment horizontal="center"/>
    </xf>
    <xf numFmtId="1" fontId="0" fillId="0" borderId="13" xfId="0" quotePrefix="1" applyNumberFormat="1" applyBorder="1" applyAlignment="1">
      <alignment horizontal="center"/>
    </xf>
    <xf numFmtId="1" fontId="0" fillId="0" borderId="14" xfId="0" quotePrefix="1" applyNumberFormat="1" applyBorder="1" applyAlignment="1">
      <alignment horizontal="center"/>
    </xf>
    <xf numFmtId="0" fontId="4" fillId="0" borderId="15" xfId="0" applyFont="1" applyBorder="1" applyAlignment="1">
      <alignment horizontal="center"/>
    </xf>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applyAlignment="1">
      <alignment horizontal="center"/>
    </xf>
    <xf numFmtId="0" fontId="0" fillId="0" borderId="13" xfId="0" applyBorder="1" applyAlignment="1">
      <alignment horizontal="center"/>
    </xf>
    <xf numFmtId="0" fontId="4" fillId="0" borderId="21" xfId="0" applyFont="1" applyBorder="1" applyAlignment="1">
      <alignment horizontal="center"/>
    </xf>
    <xf numFmtId="0" fontId="0" fillId="0" borderId="9" xfId="0" applyBorder="1" applyAlignment="1">
      <alignment horizontal="right"/>
    </xf>
    <xf numFmtId="0" fontId="0" fillId="0" borderId="22" xfId="0" applyBorder="1" applyAlignment="1">
      <alignment horizontal="center" wrapText="1"/>
    </xf>
    <xf numFmtId="0" fontId="0" fillId="0" borderId="21" xfId="0" applyBorder="1" applyAlignment="1">
      <alignment horizontal="center" wrapText="1"/>
    </xf>
    <xf numFmtId="0" fontId="0" fillId="0" borderId="23" xfId="0" applyBorder="1" applyAlignment="1">
      <alignment horizontal="right"/>
    </xf>
    <xf numFmtId="0" fontId="0" fillId="0" borderId="17" xfId="0" applyBorder="1" applyAlignment="1">
      <alignment horizontal="right"/>
    </xf>
    <xf numFmtId="0" fontId="0" fillId="0" borderId="24" xfId="0" applyBorder="1" applyAlignment="1">
      <alignment horizontal="right"/>
    </xf>
    <xf numFmtId="0" fontId="0" fillId="0" borderId="25" xfId="0" applyBorder="1" applyAlignment="1">
      <alignment horizontal="right"/>
    </xf>
    <xf numFmtId="0" fontId="0" fillId="0" borderId="26" xfId="0" applyBorder="1" applyAlignment="1">
      <alignment horizontal="right"/>
    </xf>
    <xf numFmtId="0" fontId="0" fillId="0" borderId="25" xfId="0" applyBorder="1"/>
    <xf numFmtId="1" fontId="0" fillId="0" borderId="27" xfId="0" applyNumberFormat="1" applyBorder="1" applyAlignment="1">
      <alignment horizontal="center"/>
    </xf>
    <xf numFmtId="1" fontId="0" fillId="0" borderId="28" xfId="0" applyNumberFormat="1" applyBorder="1" applyAlignment="1">
      <alignment horizontal="center"/>
    </xf>
    <xf numFmtId="1" fontId="0" fillId="0" borderId="29" xfId="0" quotePrefix="1" applyNumberFormat="1" applyBorder="1" applyAlignment="1">
      <alignment horizontal="center"/>
    </xf>
    <xf numFmtId="0" fontId="0" fillId="0" borderId="26" xfId="0" applyBorder="1"/>
    <xf numFmtId="0" fontId="0" fillId="0" borderId="30" xfId="0" applyBorder="1"/>
    <xf numFmtId="0" fontId="0" fillId="0" borderId="31" xfId="0" applyBorder="1"/>
    <xf numFmtId="0" fontId="0" fillId="0" borderId="32" xfId="0" applyBorder="1"/>
    <xf numFmtId="0" fontId="0" fillId="0" borderId="33" xfId="0" applyBorder="1"/>
    <xf numFmtId="16" fontId="0" fillId="0" borderId="34" xfId="0" quotePrefix="1" applyNumberFormat="1" applyBorder="1" applyAlignment="1">
      <alignment horizontal="center"/>
    </xf>
    <xf numFmtId="0" fontId="0" fillId="0" borderId="35" xfId="0" applyBorder="1"/>
    <xf numFmtId="0" fontId="0" fillId="0" borderId="36" xfId="0" applyBorder="1"/>
    <xf numFmtId="0" fontId="0" fillId="0" borderId="37" xfId="0" applyBorder="1"/>
    <xf numFmtId="1" fontId="0" fillId="0" borderId="34" xfId="0" quotePrefix="1" applyNumberFormat="1" applyBorder="1" applyAlignment="1">
      <alignment horizontal="center"/>
    </xf>
    <xf numFmtId="0" fontId="0" fillId="0" borderId="38" xfId="0" applyBorder="1"/>
    <xf numFmtId="0" fontId="0" fillId="0" borderId="39" xfId="0" applyBorder="1"/>
    <xf numFmtId="0" fontId="0" fillId="0" borderId="21" xfId="0" applyBorder="1"/>
    <xf numFmtId="0" fontId="0" fillId="0" borderId="40" xfId="0" applyBorder="1"/>
    <xf numFmtId="0" fontId="0" fillId="0" borderId="41" xfId="0" applyBorder="1"/>
    <xf numFmtId="0" fontId="4" fillId="0" borderId="0" xfId="0" applyFont="1" applyAlignment="1">
      <alignment horizontal="center"/>
    </xf>
    <xf numFmtId="0" fontId="0" fillId="3" borderId="42" xfId="0" applyFill="1" applyBorder="1" applyProtection="1">
      <protection locked="0" hidden="1"/>
    </xf>
    <xf numFmtId="0" fontId="0" fillId="4" borderId="42" xfId="0" applyFill="1" applyBorder="1" applyProtection="1">
      <protection locked="0" hidden="1"/>
    </xf>
    <xf numFmtId="0" fontId="0" fillId="3" borderId="43" xfId="0" applyFill="1" applyBorder="1" applyProtection="1">
      <protection locked="0" hidden="1"/>
    </xf>
    <xf numFmtId="1" fontId="0" fillId="0" borderId="0" xfId="0" applyNumberFormat="1" applyProtection="1">
      <protection hidden="1"/>
    </xf>
    <xf numFmtId="0" fontId="5" fillId="2" borderId="44" xfId="0" applyFont="1" applyFill="1" applyBorder="1" applyAlignment="1" applyProtection="1">
      <alignment horizontal="center"/>
      <protection hidden="1"/>
    </xf>
    <xf numFmtId="0" fontId="17" fillId="0" borderId="0" xfId="0" applyFont="1"/>
    <xf numFmtId="0" fontId="4" fillId="0" borderId="0" xfId="0" quotePrefix="1" applyFont="1"/>
    <xf numFmtId="0" fontId="19" fillId="0" borderId="0" xfId="0" applyFont="1"/>
    <xf numFmtId="3" fontId="24" fillId="0" borderId="0" xfId="0" applyNumberFormat="1" applyFont="1" applyProtection="1">
      <protection hidden="1"/>
    </xf>
    <xf numFmtId="0" fontId="20" fillId="0" borderId="0" xfId="0" applyFont="1"/>
    <xf numFmtId="0" fontId="19" fillId="0" borderId="60" xfId="0" applyFont="1" applyBorder="1" applyAlignment="1" applyProtection="1">
      <alignment horizontal="center" vertical="center"/>
      <protection hidden="1"/>
    </xf>
    <xf numFmtId="0" fontId="7" fillId="0" borderId="0" xfId="0" applyFont="1" applyProtection="1">
      <protection hidden="1"/>
    </xf>
    <xf numFmtId="165" fontId="4" fillId="0" borderId="0" xfId="0" applyNumberFormat="1" applyFont="1" applyProtection="1">
      <protection hidden="1"/>
    </xf>
    <xf numFmtId="165" fontId="22" fillId="0" borderId="0" xfId="0" applyNumberFormat="1" applyFont="1" applyProtection="1">
      <protection hidden="1"/>
    </xf>
    <xf numFmtId="0" fontId="4" fillId="0" borderId="0" xfId="0" applyFont="1" applyProtection="1">
      <protection hidden="1"/>
    </xf>
    <xf numFmtId="0" fontId="23" fillId="0" borderId="0" xfId="0" applyFont="1" applyAlignment="1">
      <alignment horizontal="center"/>
    </xf>
    <xf numFmtId="0" fontId="4" fillId="0" borderId="0" xfId="0" quotePrefix="1" applyFont="1" applyAlignment="1" applyProtection="1">
      <alignment vertical="center"/>
      <protection hidden="1"/>
    </xf>
    <xf numFmtId="0" fontId="7" fillId="0" borderId="0" xfId="0" applyFont="1" applyAlignment="1" applyProtection="1">
      <alignment vertical="center"/>
      <protection hidden="1"/>
    </xf>
    <xf numFmtId="0" fontId="4" fillId="2" borderId="66" xfId="0" quotePrefix="1" applyFont="1" applyFill="1" applyBorder="1" applyAlignment="1" applyProtection="1">
      <alignment vertical="center"/>
      <protection hidden="1"/>
    </xf>
    <xf numFmtId="0" fontId="4" fillId="2" borderId="67" xfId="0" quotePrefix="1" applyFont="1" applyFill="1" applyBorder="1" applyAlignment="1" applyProtection="1">
      <alignment vertical="center"/>
      <protection hidden="1"/>
    </xf>
    <xf numFmtId="0" fontId="4" fillId="2" borderId="68" xfId="0" quotePrefix="1" applyFont="1" applyFill="1" applyBorder="1" applyAlignment="1" applyProtection="1">
      <alignment vertical="center"/>
      <protection hidden="1"/>
    </xf>
    <xf numFmtId="0" fontId="7" fillId="2" borderId="69" xfId="0" applyFont="1" applyFill="1" applyBorder="1" applyAlignment="1" applyProtection="1">
      <alignment vertical="center"/>
      <protection hidden="1"/>
    </xf>
    <xf numFmtId="165" fontId="4" fillId="2" borderId="67" xfId="0" applyNumberFormat="1" applyFont="1" applyFill="1" applyBorder="1" applyProtection="1">
      <protection hidden="1"/>
    </xf>
    <xf numFmtId="165" fontId="4" fillId="2" borderId="62" xfId="0" applyNumberFormat="1" applyFont="1" applyFill="1" applyBorder="1" applyProtection="1">
      <protection hidden="1"/>
    </xf>
    <xf numFmtId="165" fontId="22" fillId="2" borderId="70" xfId="0" applyNumberFormat="1" applyFont="1" applyFill="1" applyBorder="1" applyProtection="1">
      <protection hidden="1"/>
    </xf>
    <xf numFmtId="165" fontId="22" fillId="2" borderId="71" xfId="0" applyNumberFormat="1" applyFont="1" applyFill="1" applyBorder="1" applyProtection="1">
      <protection hidden="1"/>
    </xf>
    <xf numFmtId="0" fontId="0" fillId="8" borderId="11" xfId="0" applyFill="1" applyBorder="1"/>
    <xf numFmtId="0" fontId="0" fillId="8" borderId="72" xfId="0" applyFill="1" applyBorder="1"/>
    <xf numFmtId="0" fontId="0" fillId="8" borderId="73" xfId="0" applyFill="1" applyBorder="1"/>
    <xf numFmtId="0" fontId="4" fillId="2" borderId="69" xfId="0" applyFont="1" applyFill="1" applyBorder="1" applyProtection="1">
      <protection hidden="1"/>
    </xf>
    <xf numFmtId="0" fontId="4" fillId="2" borderId="67" xfId="0" applyFont="1" applyFill="1" applyBorder="1" applyProtection="1">
      <protection hidden="1"/>
    </xf>
    <xf numFmtId="0" fontId="4" fillId="2" borderId="63" xfId="0" applyFont="1" applyFill="1" applyBorder="1" applyProtection="1">
      <protection hidden="1"/>
    </xf>
    <xf numFmtId="0" fontId="7" fillId="2" borderId="67" xfId="0" applyFont="1" applyFill="1" applyBorder="1" applyProtection="1">
      <protection hidden="1"/>
    </xf>
    <xf numFmtId="0" fontId="4" fillId="2" borderId="74" xfId="0" applyFont="1" applyFill="1" applyBorder="1" applyProtection="1">
      <protection hidden="1"/>
    </xf>
    <xf numFmtId="0" fontId="7" fillId="2" borderId="69" xfId="0" applyFont="1" applyFill="1" applyBorder="1" applyProtection="1">
      <protection hidden="1"/>
    </xf>
    <xf numFmtId="165" fontId="4" fillId="2" borderId="69" xfId="0" applyNumberFormat="1" applyFont="1" applyFill="1" applyBorder="1" applyProtection="1">
      <protection hidden="1"/>
    </xf>
    <xf numFmtId="165" fontId="22" fillId="2" borderId="75" xfId="0" applyNumberFormat="1" applyFont="1" applyFill="1" applyBorder="1" applyProtection="1">
      <protection hidden="1"/>
    </xf>
    <xf numFmtId="0" fontId="0" fillId="8" borderId="9" xfId="0" applyFill="1" applyBorder="1"/>
    <xf numFmtId="0" fontId="4" fillId="2" borderId="69" xfId="0" quotePrefix="1" applyFont="1" applyFill="1" applyBorder="1" applyAlignment="1" applyProtection="1">
      <alignment vertical="center"/>
      <protection hidden="1"/>
    </xf>
    <xf numFmtId="0" fontId="4" fillId="2" borderId="63" xfId="0" quotePrefix="1" applyFont="1" applyFill="1" applyBorder="1" applyAlignment="1" applyProtection="1">
      <alignment vertical="center"/>
      <protection hidden="1"/>
    </xf>
    <xf numFmtId="0" fontId="15" fillId="2" borderId="67" xfId="0" applyFont="1" applyFill="1" applyBorder="1" applyAlignment="1" applyProtection="1">
      <alignment vertical="center"/>
      <protection hidden="1"/>
    </xf>
    <xf numFmtId="165" fontId="4" fillId="2" borderId="61" xfId="0" applyNumberFormat="1" applyFont="1" applyFill="1" applyBorder="1" applyProtection="1">
      <protection hidden="1"/>
    </xf>
    <xf numFmtId="165" fontId="4" fillId="2" borderId="63" xfId="0" applyNumberFormat="1" applyFont="1" applyFill="1" applyBorder="1" applyProtection="1">
      <protection hidden="1"/>
    </xf>
    <xf numFmtId="0" fontId="0" fillId="0" borderId="9" xfId="0" applyBorder="1" applyAlignment="1">
      <alignment horizontal="center"/>
    </xf>
    <xf numFmtId="0" fontId="0" fillId="0" borderId="77" xfId="0" applyBorder="1" applyAlignment="1">
      <alignment horizontal="center" wrapText="1"/>
    </xf>
    <xf numFmtId="0" fontId="0" fillId="0" borderId="78" xfId="0" applyBorder="1" applyAlignment="1">
      <alignment horizontal="right"/>
    </xf>
    <xf numFmtId="0" fontId="0" fillId="0" borderId="79" xfId="0" applyBorder="1" applyAlignment="1">
      <alignment horizontal="right"/>
    </xf>
    <xf numFmtId="0" fontId="0" fillId="0" borderId="80" xfId="0" applyBorder="1" applyAlignment="1">
      <alignment horizontal="right"/>
    </xf>
    <xf numFmtId="0" fontId="0" fillId="0" borderId="26" xfId="0" applyBorder="1" applyAlignment="1">
      <alignment horizontal="center" vertical="center" wrapText="1"/>
    </xf>
    <xf numFmtId="0" fontId="0" fillId="0" borderId="77" xfId="0" applyBorder="1" applyAlignment="1">
      <alignment horizontal="center" vertical="center" wrapText="1"/>
    </xf>
    <xf numFmtId="0" fontId="0" fillId="0" borderId="81" xfId="0" applyBorder="1" applyAlignment="1">
      <alignment horizontal="center"/>
    </xf>
    <xf numFmtId="0" fontId="0" fillId="0" borderId="82" xfId="0" applyBorder="1" applyAlignment="1">
      <alignment horizontal="center"/>
    </xf>
    <xf numFmtId="0" fontId="0" fillId="0" borderId="83" xfId="0" applyBorder="1"/>
    <xf numFmtId="0" fontId="0" fillId="0" borderId="84" xfId="0" applyBorder="1" applyAlignment="1">
      <alignment horizontal="center"/>
    </xf>
    <xf numFmtId="0" fontId="0" fillId="0" borderId="85" xfId="0" applyBorder="1"/>
    <xf numFmtId="0" fontId="0" fillId="0" borderId="86" xfId="0" applyBorder="1" applyAlignment="1">
      <alignment horizontal="center"/>
    </xf>
    <xf numFmtId="0" fontId="0" fillId="0" borderId="87" xfId="0" applyBorder="1" applyAlignment="1">
      <alignment horizontal="right"/>
    </xf>
    <xf numFmtId="0" fontId="0" fillId="0" borderId="88" xfId="0" applyBorder="1" applyAlignment="1">
      <alignment horizontal="right"/>
    </xf>
    <xf numFmtId="0" fontId="0" fillId="0" borderId="89" xfId="0" applyBorder="1" applyAlignment="1">
      <alignment horizontal="right"/>
    </xf>
    <xf numFmtId="0" fontId="0" fillId="0" borderId="90" xfId="0" applyBorder="1" applyAlignment="1">
      <alignment horizontal="right"/>
    </xf>
    <xf numFmtId="0" fontId="0" fillId="0" borderId="91" xfId="0" applyBorder="1" applyAlignment="1">
      <alignment horizontal="right"/>
    </xf>
    <xf numFmtId="0" fontId="0" fillId="0" borderId="85" xfId="0" applyBorder="1" applyAlignment="1">
      <alignment horizontal="right"/>
    </xf>
    <xf numFmtId="0" fontId="0" fillId="0" borderId="92" xfId="0" applyBorder="1" applyAlignment="1">
      <alignment horizontal="right"/>
    </xf>
    <xf numFmtId="0" fontId="0" fillId="0" borderId="93" xfId="0" applyBorder="1"/>
    <xf numFmtId="0" fontId="0" fillId="0" borderId="94" xfId="0" applyBorder="1" applyAlignment="1">
      <alignment horizontal="right"/>
    </xf>
    <xf numFmtId="0" fontId="4" fillId="0" borderId="95" xfId="0" applyFont="1" applyBorder="1"/>
    <xf numFmtId="0" fontId="0" fillId="0" borderId="96" xfId="0" applyBorder="1"/>
    <xf numFmtId="0" fontId="0" fillId="0" borderId="86" xfId="0" applyBorder="1"/>
    <xf numFmtId="0" fontId="0" fillId="0" borderId="97" xfId="0" applyBorder="1" applyAlignment="1">
      <alignment horizontal="center" wrapText="1"/>
    </xf>
    <xf numFmtId="0" fontId="0" fillId="0" borderId="98" xfId="0" applyBorder="1" applyAlignment="1">
      <alignment horizontal="right"/>
    </xf>
    <xf numFmtId="0" fontId="0" fillId="0" borderId="99" xfId="0" applyBorder="1" applyAlignment="1">
      <alignment horizontal="right"/>
    </xf>
    <xf numFmtId="0" fontId="0" fillId="0" borderId="100" xfId="0" applyBorder="1" applyAlignment="1">
      <alignment horizontal="right"/>
    </xf>
    <xf numFmtId="1" fontId="0" fillId="0" borderId="101" xfId="0" quotePrefix="1" applyNumberFormat="1" applyBorder="1" applyAlignment="1">
      <alignment horizontal="center"/>
    </xf>
    <xf numFmtId="0" fontId="0" fillId="0" borderId="102" xfId="0" applyBorder="1" applyAlignment="1">
      <alignment horizontal="right"/>
    </xf>
    <xf numFmtId="0" fontId="0" fillId="0" borderId="103" xfId="0" applyBorder="1" applyAlignment="1">
      <alignment horizontal="right"/>
    </xf>
    <xf numFmtId="0" fontId="0" fillId="0" borderId="93" xfId="0" applyBorder="1" applyAlignment="1">
      <alignment horizontal="right"/>
    </xf>
    <xf numFmtId="0" fontId="0" fillId="0" borderId="104" xfId="0" applyBorder="1" applyAlignment="1">
      <alignment horizontal="right"/>
    </xf>
    <xf numFmtId="1" fontId="4" fillId="0" borderId="0" xfId="0" applyNumberFormat="1" applyFont="1"/>
    <xf numFmtId="1" fontId="25" fillId="0" borderId="0" xfId="0" applyNumberFormat="1" applyFont="1" applyProtection="1">
      <protection hidden="1"/>
    </xf>
    <xf numFmtId="1" fontId="26" fillId="9" borderId="0" xfId="0" applyNumberFormat="1" applyFont="1" applyFill="1" applyProtection="1">
      <protection hidden="1"/>
    </xf>
    <xf numFmtId="0" fontId="0" fillId="0" borderId="105" xfId="0" applyBorder="1" applyProtection="1">
      <protection hidden="1"/>
    </xf>
    <xf numFmtId="0" fontId="0" fillId="0" borderId="18" xfId="0" applyBorder="1" applyProtection="1">
      <protection hidden="1"/>
    </xf>
    <xf numFmtId="0" fontId="0" fillId="0" borderId="106" xfId="0" applyBorder="1" applyProtection="1">
      <protection hidden="1"/>
    </xf>
    <xf numFmtId="3" fontId="3" fillId="0" borderId="0" xfId="0" applyNumberFormat="1" applyFont="1" applyProtection="1">
      <protection hidden="1"/>
    </xf>
    <xf numFmtId="3" fontId="27" fillId="0" borderId="0" xfId="0" applyNumberFormat="1" applyFont="1"/>
    <xf numFmtId="0" fontId="19" fillId="0" borderId="0" xfId="0" applyFont="1" applyProtection="1">
      <protection hidden="1"/>
    </xf>
    <xf numFmtId="1" fontId="0" fillId="0" borderId="107" xfId="0" applyNumberFormat="1" applyBorder="1"/>
    <xf numFmtId="1" fontId="0" fillId="0" borderId="27" xfId="0" applyNumberFormat="1" applyBorder="1"/>
    <xf numFmtId="1" fontId="0" fillId="0" borderId="108" xfId="0" applyNumberFormat="1" applyBorder="1"/>
    <xf numFmtId="1" fontId="0" fillId="0" borderId="1" xfId="0" applyNumberFormat="1" applyBorder="1"/>
    <xf numFmtId="1" fontId="0" fillId="0" borderId="109" xfId="0" applyNumberFormat="1" applyBorder="1"/>
    <xf numFmtId="1" fontId="0" fillId="0" borderId="110" xfId="0" applyNumberFormat="1" applyBorder="1"/>
    <xf numFmtId="1" fontId="0" fillId="0" borderId="111" xfId="0" applyNumberFormat="1" applyBorder="1"/>
    <xf numFmtId="1" fontId="0" fillId="0" borderId="12" xfId="0" applyNumberFormat="1" applyBorder="1"/>
    <xf numFmtId="0" fontId="0" fillId="0" borderId="0" xfId="0" applyAlignment="1" applyProtection="1">
      <alignment horizontal="center"/>
      <protection hidden="1"/>
    </xf>
    <xf numFmtId="0" fontId="0" fillId="0" borderId="112" xfId="0" applyBorder="1" applyAlignment="1" applyProtection="1">
      <alignment horizontal="center"/>
      <protection hidden="1"/>
    </xf>
    <xf numFmtId="0" fontId="0" fillId="0" borderId="113" xfId="0" applyBorder="1" applyProtection="1">
      <protection hidden="1"/>
    </xf>
    <xf numFmtId="0" fontId="0" fillId="0" borderId="26" xfId="0" applyBorder="1" applyAlignment="1" applyProtection="1">
      <alignment horizontal="center"/>
      <protection hidden="1"/>
    </xf>
    <xf numFmtId="0" fontId="0" fillId="0" borderId="112" xfId="0" applyBorder="1" applyAlignment="1" applyProtection="1">
      <alignment horizontal="center" vertical="center"/>
      <protection hidden="1"/>
    </xf>
    <xf numFmtId="0" fontId="0" fillId="0" borderId="65" xfId="0" applyBorder="1" applyProtection="1">
      <protection hidden="1"/>
    </xf>
    <xf numFmtId="0" fontId="0" fillId="0" borderId="114" xfId="0" applyBorder="1" applyAlignment="1" applyProtection="1">
      <alignment horizontal="center"/>
      <protection hidden="1"/>
    </xf>
    <xf numFmtId="0" fontId="0" fillId="0" borderId="111" xfId="0" applyBorder="1" applyProtection="1">
      <protection hidden="1"/>
    </xf>
    <xf numFmtId="0" fontId="0" fillId="0" borderId="115" xfId="0" applyBorder="1" applyAlignment="1" applyProtection="1">
      <alignment horizontal="center" vertical="center"/>
      <protection hidden="1"/>
    </xf>
    <xf numFmtId="0" fontId="0" fillId="0" borderId="116" xfId="0" applyBorder="1" applyProtection="1">
      <protection hidden="1"/>
    </xf>
    <xf numFmtId="0" fontId="0" fillId="0" borderId="114" xfId="0" quotePrefix="1" applyBorder="1" applyAlignment="1" applyProtection="1">
      <alignment horizontal="center"/>
      <protection hidden="1"/>
    </xf>
    <xf numFmtId="0" fontId="0" fillId="0" borderId="117" xfId="0" applyBorder="1" applyProtection="1">
      <protection hidden="1"/>
    </xf>
    <xf numFmtId="0" fontId="0" fillId="0" borderId="118" xfId="0" applyBorder="1" applyAlignment="1" applyProtection="1">
      <alignment horizontal="center"/>
      <protection hidden="1"/>
    </xf>
    <xf numFmtId="0" fontId="0" fillId="0" borderId="119" xfId="0" applyBorder="1" applyProtection="1">
      <protection hidden="1"/>
    </xf>
    <xf numFmtId="0" fontId="0" fillId="0" borderId="80"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80" xfId="0" applyBorder="1" applyAlignment="1" applyProtection="1">
      <alignment horizontal="center"/>
      <protection hidden="1"/>
    </xf>
    <xf numFmtId="0" fontId="0" fillId="0" borderId="120" xfId="0" applyBorder="1" applyAlignment="1" applyProtection="1">
      <alignment horizontal="center" vertical="center"/>
      <protection hidden="1"/>
    </xf>
    <xf numFmtId="0" fontId="0" fillId="0" borderId="121" xfId="0" quotePrefix="1" applyBorder="1" applyProtection="1">
      <protection hidden="1"/>
    </xf>
    <xf numFmtId="0" fontId="0" fillId="0" borderId="0" xfId="0" quotePrefix="1" applyProtection="1">
      <protection hidden="1"/>
    </xf>
    <xf numFmtId="0" fontId="0" fillId="0" borderId="105" xfId="0" quotePrefix="1" applyBorder="1" applyProtection="1">
      <protection hidden="1"/>
    </xf>
    <xf numFmtId="0" fontId="0" fillId="0" borderId="18" xfId="0" quotePrefix="1" applyBorder="1" applyProtection="1">
      <protection hidden="1"/>
    </xf>
    <xf numFmtId="0" fontId="0" fillId="0" borderId="106" xfId="0" quotePrefix="1" applyBorder="1" applyProtection="1">
      <protection hidden="1"/>
    </xf>
    <xf numFmtId="0" fontId="0" fillId="0" borderId="26" xfId="0" applyBorder="1" applyProtection="1">
      <protection hidden="1"/>
    </xf>
    <xf numFmtId="0" fontId="0" fillId="0" borderId="112" xfId="0" applyBorder="1" applyProtection="1">
      <protection hidden="1"/>
    </xf>
    <xf numFmtId="0" fontId="0" fillId="0" borderId="122" xfId="0" applyBorder="1" applyAlignment="1" applyProtection="1">
      <alignment horizontal="center"/>
      <protection hidden="1"/>
    </xf>
    <xf numFmtId="0" fontId="0" fillId="0" borderId="114" xfId="0" applyBorder="1" applyProtection="1">
      <protection hidden="1"/>
    </xf>
    <xf numFmtId="0" fontId="0" fillId="0" borderId="123" xfId="0" applyBorder="1" applyAlignment="1" applyProtection="1">
      <alignment horizontal="center"/>
      <protection hidden="1"/>
    </xf>
    <xf numFmtId="0" fontId="0" fillId="0" borderId="118" xfId="0" applyBorder="1" applyProtection="1">
      <protection hidden="1"/>
    </xf>
    <xf numFmtId="0" fontId="0" fillId="0" borderId="124" xfId="0" applyBorder="1" applyAlignment="1" applyProtection="1">
      <alignment horizontal="center"/>
      <protection hidden="1"/>
    </xf>
    <xf numFmtId="0" fontId="4" fillId="10" borderId="125" xfId="0" applyFont="1" applyFill="1" applyBorder="1"/>
    <xf numFmtId="1" fontId="4" fillId="11" borderId="110" xfId="0" applyNumberFormat="1" applyFont="1" applyFill="1" applyBorder="1"/>
    <xf numFmtId="1" fontId="4" fillId="11" borderId="111" xfId="0" applyNumberFormat="1" applyFont="1" applyFill="1" applyBorder="1"/>
    <xf numFmtId="0" fontId="4" fillId="11" borderId="12" xfId="0" applyFont="1" applyFill="1" applyBorder="1"/>
    <xf numFmtId="1" fontId="4" fillId="11" borderId="126" xfId="0" applyNumberFormat="1" applyFont="1" applyFill="1" applyBorder="1"/>
    <xf numFmtId="1" fontId="4" fillId="11" borderId="127" xfId="0" applyNumberFormat="1" applyFont="1" applyFill="1" applyBorder="1"/>
    <xf numFmtId="1" fontId="4" fillId="11" borderId="60" xfId="0" applyNumberFormat="1" applyFont="1" applyFill="1" applyBorder="1"/>
    <xf numFmtId="1" fontId="4" fillId="11" borderId="12" xfId="0" applyNumberFormat="1" applyFont="1" applyFill="1" applyBorder="1"/>
    <xf numFmtId="0" fontId="26" fillId="9" borderId="0" xfId="0" applyFont="1" applyFill="1" applyProtection="1">
      <protection hidden="1"/>
    </xf>
    <xf numFmtId="0" fontId="0" fillId="0" borderId="2" xfId="0" applyBorder="1" applyAlignment="1" applyProtection="1">
      <alignment horizontal="center"/>
      <protection locked="0" hidden="1"/>
    </xf>
    <xf numFmtId="1" fontId="0" fillId="12" borderId="0" xfId="0" applyNumberFormat="1" applyFill="1" applyProtection="1">
      <protection hidden="1"/>
    </xf>
    <xf numFmtId="1" fontId="4" fillId="10" borderId="128" xfId="0" applyNumberFormat="1" applyFont="1" applyFill="1" applyBorder="1"/>
    <xf numFmtId="1" fontId="4" fillId="10" borderId="129" xfId="0" applyNumberFormat="1" applyFont="1" applyFill="1" applyBorder="1"/>
    <xf numFmtId="0" fontId="0" fillId="11" borderId="13" xfId="0" applyFill="1" applyBorder="1"/>
    <xf numFmtId="0" fontId="31" fillId="0" borderId="2" xfId="0" applyFont="1" applyBorder="1" applyProtection="1">
      <protection locked="0" hidden="1"/>
    </xf>
    <xf numFmtId="0" fontId="0" fillId="8" borderId="130" xfId="0" applyFill="1" applyBorder="1"/>
    <xf numFmtId="0" fontId="0" fillId="8" borderId="22" xfId="0" applyFill="1" applyBorder="1"/>
    <xf numFmtId="0" fontId="0" fillId="8" borderId="131" xfId="0" applyFill="1" applyBorder="1"/>
    <xf numFmtId="0" fontId="10" fillId="3" borderId="42" xfId="0" quotePrefix="1" applyFont="1" applyFill="1" applyBorder="1" applyAlignment="1" applyProtection="1">
      <alignment horizontal="right"/>
      <protection locked="0" hidden="1"/>
    </xf>
    <xf numFmtId="0" fontId="10" fillId="3" borderId="42" xfId="0" applyFont="1" applyFill="1" applyBorder="1" applyAlignment="1" applyProtection="1">
      <alignment horizontal="right"/>
      <protection locked="0" hidden="1"/>
    </xf>
    <xf numFmtId="0" fontId="21" fillId="3" borderId="2" xfId="0" applyFont="1" applyFill="1" applyBorder="1" applyAlignment="1" applyProtection="1">
      <alignment horizontal="center"/>
      <protection locked="0" hidden="1"/>
    </xf>
    <xf numFmtId="166" fontId="5" fillId="0" borderId="96" xfId="0" applyNumberFormat="1" applyFont="1" applyBorder="1" applyProtection="1">
      <protection hidden="1"/>
    </xf>
    <xf numFmtId="0" fontId="5" fillId="0" borderId="0" xfId="0" applyFont="1" applyAlignment="1">
      <alignment horizontal="right"/>
    </xf>
    <xf numFmtId="0" fontId="0" fillId="0" borderId="0" xfId="0" applyAlignment="1">
      <alignment horizontal="center" vertical="center"/>
    </xf>
    <xf numFmtId="0" fontId="0" fillId="18" borderId="0" xfId="0" applyFill="1"/>
    <xf numFmtId="0" fontId="36" fillId="24" borderId="0" xfId="0" applyFont="1" applyFill="1"/>
    <xf numFmtId="0" fontId="4" fillId="24" borderId="0" xfId="0" applyFont="1" applyFill="1"/>
    <xf numFmtId="0" fontId="0" fillId="24" borderId="0" xfId="0" applyFill="1"/>
    <xf numFmtId="0" fontId="0" fillId="24" borderId="113" xfId="0" applyFill="1" applyBorder="1" applyProtection="1">
      <protection hidden="1"/>
    </xf>
    <xf numFmtId="0" fontId="0" fillId="24" borderId="111" xfId="0" applyFill="1" applyBorder="1" applyProtection="1">
      <protection hidden="1"/>
    </xf>
    <xf numFmtId="0" fontId="0" fillId="24" borderId="119" xfId="0" applyFill="1" applyBorder="1" applyProtection="1">
      <protection hidden="1"/>
    </xf>
    <xf numFmtId="0" fontId="0" fillId="24" borderId="80" xfId="0" applyFill="1" applyBorder="1" applyAlignment="1" applyProtection="1">
      <alignment horizontal="center" vertical="center"/>
      <protection hidden="1"/>
    </xf>
    <xf numFmtId="0" fontId="0" fillId="24" borderId="7" xfId="0" applyFill="1" applyBorder="1" applyProtection="1">
      <protection hidden="1"/>
    </xf>
    <xf numFmtId="0" fontId="0" fillId="24" borderId="80" xfId="0" applyFill="1" applyBorder="1" applyAlignment="1" applyProtection="1">
      <alignment horizontal="center"/>
      <protection hidden="1"/>
    </xf>
    <xf numFmtId="0" fontId="0" fillId="24" borderId="105" xfId="0" applyFill="1" applyBorder="1" applyProtection="1">
      <protection hidden="1"/>
    </xf>
    <xf numFmtId="0" fontId="0" fillId="24" borderId="106" xfId="0" applyFill="1" applyBorder="1" applyProtection="1">
      <protection hidden="1"/>
    </xf>
    <xf numFmtId="0" fontId="0" fillId="24" borderId="112" xfId="0" applyFill="1" applyBorder="1" applyProtection="1">
      <protection hidden="1"/>
    </xf>
    <xf numFmtId="0" fontId="0" fillId="24" borderId="114" xfId="0" applyFill="1" applyBorder="1" applyProtection="1">
      <protection hidden="1"/>
    </xf>
    <xf numFmtId="0" fontId="0" fillId="24" borderId="118" xfId="0" applyFill="1" applyBorder="1" applyProtection="1">
      <protection hidden="1"/>
    </xf>
    <xf numFmtId="0" fontId="0" fillId="24" borderId="105" xfId="0" quotePrefix="1" applyFill="1" applyBorder="1" applyProtection="1">
      <protection hidden="1"/>
    </xf>
    <xf numFmtId="0" fontId="0" fillId="24" borderId="18" xfId="0" quotePrefix="1" applyFill="1" applyBorder="1" applyProtection="1">
      <protection hidden="1"/>
    </xf>
    <xf numFmtId="0" fontId="0" fillId="24" borderId="106" xfId="0" quotePrefix="1" applyFill="1" applyBorder="1" applyProtection="1">
      <protection hidden="1"/>
    </xf>
    <xf numFmtId="0" fontId="0" fillId="25" borderId="105" xfId="0" applyFill="1" applyBorder="1" applyProtection="1">
      <protection hidden="1"/>
    </xf>
    <xf numFmtId="0" fontId="0" fillId="25" borderId="18" xfId="0" applyFill="1" applyBorder="1" applyProtection="1">
      <protection hidden="1"/>
    </xf>
    <xf numFmtId="0" fontId="0" fillId="25" borderId="106" xfId="0" applyFill="1" applyBorder="1" applyProtection="1">
      <protection hidden="1"/>
    </xf>
    <xf numFmtId="0" fontId="0" fillId="0" borderId="35" xfId="0" applyBorder="1" applyAlignment="1" applyProtection="1">
      <alignment horizontal="center" vertical="center"/>
      <protection hidden="1"/>
    </xf>
    <xf numFmtId="0" fontId="36" fillId="0" borderId="0" xfId="0" applyFont="1"/>
    <xf numFmtId="0" fontId="0" fillId="24" borderId="18" xfId="0" applyFill="1" applyBorder="1" applyProtection="1">
      <protection hidden="1"/>
    </xf>
    <xf numFmtId="0" fontId="40" fillId="0" borderId="0" xfId="0" applyFont="1"/>
    <xf numFmtId="0" fontId="39" fillId="0" borderId="0" xfId="0" applyFont="1" applyAlignment="1" applyProtection="1">
      <alignment horizontal="center"/>
      <protection hidden="1"/>
    </xf>
    <xf numFmtId="0" fontId="1" fillId="3" borderId="2" xfId="0" applyFont="1" applyFill="1" applyBorder="1" applyAlignment="1" applyProtection="1">
      <alignment horizontal="center"/>
      <protection locked="0" hidden="1"/>
    </xf>
    <xf numFmtId="0" fontId="0" fillId="0" borderId="35" xfId="0" applyBorder="1" applyProtection="1">
      <protection hidden="1"/>
    </xf>
    <xf numFmtId="0" fontId="0" fillId="0" borderId="113" xfId="0" quotePrefix="1" applyBorder="1" applyProtection="1">
      <protection hidden="1"/>
    </xf>
    <xf numFmtId="0" fontId="0" fillId="0" borderId="7" xfId="0" quotePrefix="1" applyBorder="1" applyProtection="1">
      <protection hidden="1"/>
    </xf>
    <xf numFmtId="0" fontId="0" fillId="0" borderId="0" xfId="0" applyAlignment="1">
      <alignment wrapText="1"/>
    </xf>
    <xf numFmtId="0" fontId="4" fillId="0" borderId="10" xfId="0" applyFont="1" applyBorder="1" applyAlignment="1">
      <alignment horizontal="center"/>
    </xf>
    <xf numFmtId="0" fontId="0" fillId="24" borderId="112" xfId="0" applyFill="1" applyBorder="1" applyAlignment="1" applyProtection="1">
      <alignment horizontal="center"/>
      <protection hidden="1"/>
    </xf>
    <xf numFmtId="0" fontId="0" fillId="24" borderId="114" xfId="0" applyFill="1" applyBorder="1" applyAlignment="1" applyProtection="1">
      <alignment horizontal="center"/>
      <protection hidden="1"/>
    </xf>
    <xf numFmtId="0" fontId="0" fillId="24" borderId="118" xfId="0" applyFill="1" applyBorder="1" applyAlignment="1" applyProtection="1">
      <alignment horizontal="center"/>
      <protection hidden="1"/>
    </xf>
    <xf numFmtId="0" fontId="0" fillId="26" borderId="2" xfId="0" applyFill="1" applyBorder="1" applyAlignment="1" applyProtection="1">
      <alignment horizontal="center"/>
      <protection locked="0" hidden="1"/>
    </xf>
    <xf numFmtId="0" fontId="40" fillId="0" borderId="60" xfId="0" applyFont="1" applyBorder="1" applyAlignment="1" applyProtection="1">
      <alignment horizontal="center" vertical="center"/>
      <protection hidden="1"/>
    </xf>
    <xf numFmtId="0" fontId="14" fillId="0" borderId="0" xfId="0" applyFont="1" applyAlignment="1">
      <alignment horizontal="center" vertical="center"/>
    </xf>
    <xf numFmtId="0" fontId="0" fillId="0" borderId="279" xfId="0" applyBorder="1" applyAlignment="1">
      <alignment horizontal="right"/>
    </xf>
    <xf numFmtId="0" fontId="0" fillId="0" borderId="35" xfId="0" applyBorder="1" applyAlignment="1">
      <alignment horizontal="center"/>
    </xf>
    <xf numFmtId="0" fontId="4" fillId="0" borderId="111" xfId="0" applyFont="1" applyBorder="1" applyAlignment="1">
      <alignment horizontal="center"/>
    </xf>
    <xf numFmtId="0" fontId="0" fillId="0" borderId="202" xfId="0" applyBorder="1"/>
    <xf numFmtId="0" fontId="0" fillId="0" borderId="280" xfId="0" applyBorder="1" applyAlignment="1">
      <alignment horizontal="right"/>
    </xf>
    <xf numFmtId="0" fontId="4" fillId="0" borderId="10"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0" fillId="0" borderId="77" xfId="0" applyBorder="1"/>
    <xf numFmtId="0" fontId="0" fillId="0" borderId="280" xfId="0" applyBorder="1"/>
    <xf numFmtId="0" fontId="0" fillId="0" borderId="281" xfId="0" applyBorder="1"/>
    <xf numFmtId="0" fontId="4" fillId="17" borderId="95" xfId="0" applyFont="1" applyFill="1" applyBorder="1"/>
    <xf numFmtId="0" fontId="0" fillId="17" borderId="96" xfId="0" applyFill="1" applyBorder="1"/>
    <xf numFmtId="0" fontId="0" fillId="0" borderId="284" xfId="0" applyBorder="1"/>
    <xf numFmtId="0" fontId="0" fillId="0" borderId="283" xfId="0" applyBorder="1"/>
    <xf numFmtId="0" fontId="0" fillId="0" borderId="87" xfId="0" applyBorder="1"/>
    <xf numFmtId="0" fontId="0" fillId="0" borderId="282" xfId="0" applyBorder="1"/>
    <xf numFmtId="0" fontId="0" fillId="0" borderId="285" xfId="0" applyBorder="1"/>
    <xf numFmtId="0" fontId="0" fillId="0" borderId="7" xfId="0" applyBorder="1" applyAlignment="1">
      <alignment horizontal="right"/>
    </xf>
    <xf numFmtId="0" fontId="0" fillId="0" borderId="85" xfId="0" applyBorder="1" applyAlignment="1">
      <alignment horizontal="center"/>
    </xf>
    <xf numFmtId="0" fontId="0" fillId="0" borderId="98" xfId="0" applyBorder="1"/>
    <xf numFmtId="0" fontId="0" fillId="0" borderId="287" xfId="0" applyBorder="1"/>
    <xf numFmtId="0" fontId="0" fillId="0" borderId="288" xfId="0" applyBorder="1"/>
    <xf numFmtId="0" fontId="0" fillId="0" borderId="197" xfId="0" applyBorder="1" applyAlignment="1">
      <alignment horizontal="center"/>
    </xf>
    <xf numFmtId="0" fontId="0" fillId="0" borderId="289" xfId="0" applyBorder="1" applyAlignment="1">
      <alignment horizontal="right"/>
    </xf>
    <xf numFmtId="0" fontId="0" fillId="0" borderId="100" xfId="0" applyBorder="1"/>
    <xf numFmtId="0" fontId="0" fillId="0" borderId="99" xfId="0" applyBorder="1"/>
    <xf numFmtId="0" fontId="0" fillId="0" borderId="197" xfId="0" applyBorder="1"/>
    <xf numFmtId="0" fontId="0" fillId="0" borderId="290" xfId="0" applyBorder="1" applyAlignment="1">
      <alignment horizontal="right"/>
    </xf>
    <xf numFmtId="0" fontId="0" fillId="0" borderId="293" xfId="0" applyBorder="1" applyAlignment="1">
      <alignment horizontal="right"/>
    </xf>
    <xf numFmtId="0" fontId="0" fillId="0" borderId="21" xfId="0" applyBorder="1" applyAlignment="1">
      <alignment horizontal="right"/>
    </xf>
    <xf numFmtId="0" fontId="0" fillId="0" borderId="291" xfId="0" applyBorder="1" applyAlignment="1">
      <alignment horizontal="center"/>
    </xf>
    <xf numFmtId="0" fontId="0" fillId="0" borderId="78" xfId="0" applyBorder="1"/>
    <xf numFmtId="0" fontId="0" fillId="0" borderId="294" xfId="0" applyBorder="1"/>
    <xf numFmtId="1" fontId="0" fillId="28" borderId="27" xfId="0" applyNumberFormat="1" applyFill="1" applyBorder="1" applyAlignment="1">
      <alignment horizontal="center"/>
    </xf>
    <xf numFmtId="1" fontId="0" fillId="28" borderId="28" xfId="0" applyNumberFormat="1" applyFill="1" applyBorder="1" applyAlignment="1">
      <alignment horizontal="center"/>
    </xf>
    <xf numFmtId="1" fontId="0" fillId="28" borderId="29" xfId="0" quotePrefix="1" applyNumberFormat="1" applyFill="1" applyBorder="1" applyAlignment="1">
      <alignment horizontal="center"/>
    </xf>
    <xf numFmtId="0" fontId="0" fillId="28" borderId="82" xfId="0" applyFill="1" applyBorder="1" applyAlignment="1">
      <alignment horizontal="center" vertical="center"/>
    </xf>
    <xf numFmtId="0" fontId="0" fillId="28" borderId="0" xfId="0" applyFill="1" applyAlignment="1">
      <alignment horizontal="center" vertical="center"/>
    </xf>
    <xf numFmtId="0" fontId="0" fillId="28" borderId="25" xfId="0" applyFill="1" applyBorder="1" applyAlignment="1">
      <alignment horizontal="right"/>
    </xf>
    <xf numFmtId="0" fontId="0" fillId="28" borderId="80" xfId="0" applyFill="1" applyBorder="1" applyAlignment="1">
      <alignment horizontal="right"/>
    </xf>
    <xf numFmtId="0" fontId="0" fillId="28" borderId="26" xfId="0" applyFill="1" applyBorder="1" applyAlignment="1">
      <alignment horizontal="right"/>
    </xf>
    <xf numFmtId="0" fontId="0" fillId="28" borderId="100" xfId="0" applyFill="1" applyBorder="1" applyAlignment="1">
      <alignment horizontal="right"/>
    </xf>
    <xf numFmtId="0" fontId="0" fillId="28" borderId="26" xfId="0" applyFill="1" applyBorder="1" applyAlignment="1">
      <alignment horizontal="center" vertical="center" wrapText="1"/>
    </xf>
    <xf numFmtId="0" fontId="0" fillId="28" borderId="77" xfId="0" applyFill="1" applyBorder="1" applyAlignment="1">
      <alignment horizontal="center" vertical="center" wrapText="1"/>
    </xf>
    <xf numFmtId="0" fontId="0" fillId="28" borderId="21" xfId="0" applyFill="1" applyBorder="1" applyAlignment="1">
      <alignment horizontal="center" wrapText="1"/>
    </xf>
    <xf numFmtId="0" fontId="0" fillId="28" borderId="78" xfId="0" applyFill="1" applyBorder="1" applyAlignment="1">
      <alignment horizontal="right"/>
    </xf>
    <xf numFmtId="0" fontId="0" fillId="28" borderId="23" xfId="0" applyFill="1" applyBorder="1" applyAlignment="1">
      <alignment horizontal="right"/>
    </xf>
    <xf numFmtId="0" fontId="0" fillId="28" borderId="79" xfId="0" applyFill="1" applyBorder="1" applyAlignment="1">
      <alignment horizontal="right"/>
    </xf>
    <xf numFmtId="0" fontId="0" fillId="28" borderId="17" xfId="0" applyFill="1" applyBorder="1" applyAlignment="1">
      <alignment horizontal="right"/>
    </xf>
    <xf numFmtId="0" fontId="0" fillId="26" borderId="0" xfId="0" applyFill="1"/>
    <xf numFmtId="1" fontId="0" fillId="26" borderId="0" xfId="0" applyNumberFormat="1" applyFill="1"/>
    <xf numFmtId="1" fontId="0" fillId="26" borderId="0" xfId="0" applyNumberFormat="1" applyFill="1" applyProtection="1">
      <protection hidden="1"/>
    </xf>
    <xf numFmtId="0" fontId="40" fillId="0" borderId="0" xfId="0" applyFont="1" applyProtection="1">
      <protection hidden="1"/>
    </xf>
    <xf numFmtId="0" fontId="14" fillId="0" borderId="106" xfId="0" applyFont="1" applyBorder="1"/>
    <xf numFmtId="0" fontId="0" fillId="0" borderId="106" xfId="0" applyBorder="1" applyAlignment="1">
      <alignment horizontal="left"/>
    </xf>
    <xf numFmtId="168" fontId="0" fillId="0" borderId="26" xfId="0" applyNumberFormat="1" applyBorder="1"/>
    <xf numFmtId="0" fontId="42" fillId="0" borderId="26" xfId="0" applyFont="1" applyBorder="1"/>
    <xf numFmtId="168" fontId="42" fillId="0" borderId="26" xfId="0" applyNumberFormat="1" applyFont="1" applyBorder="1"/>
    <xf numFmtId="0" fontId="43" fillId="2" borderId="1" xfId="0" applyFont="1" applyFill="1" applyBorder="1" applyAlignment="1" applyProtection="1">
      <alignment horizontal="center" vertical="center"/>
      <protection hidden="1"/>
    </xf>
    <xf numFmtId="1" fontId="0" fillId="28" borderId="28" xfId="0" quotePrefix="1" applyNumberFormat="1" applyFill="1" applyBorder="1" applyAlignment="1">
      <alignment horizontal="center"/>
    </xf>
    <xf numFmtId="0" fontId="0" fillId="28" borderId="73" xfId="0" applyFill="1" applyBorder="1" applyAlignment="1">
      <alignment horizontal="right"/>
    </xf>
    <xf numFmtId="0" fontId="0" fillId="28" borderId="112" xfId="0" applyFill="1" applyBorder="1" applyAlignment="1">
      <alignment horizontal="right"/>
    </xf>
    <xf numFmtId="0" fontId="0" fillId="28" borderId="105" xfId="0" applyFill="1" applyBorder="1" applyAlignment="1">
      <alignment horizontal="right"/>
    </xf>
    <xf numFmtId="0" fontId="0" fillId="28" borderId="300" xfId="0" applyFill="1" applyBorder="1" applyAlignment="1">
      <alignment horizontal="right"/>
    </xf>
    <xf numFmtId="0" fontId="39" fillId="27" borderId="82" xfId="0" applyFont="1" applyFill="1" applyBorder="1" applyAlignment="1">
      <alignment horizontal="right"/>
    </xf>
    <xf numFmtId="0" fontId="39" fillId="27" borderId="83" xfId="0" applyFont="1" applyFill="1" applyBorder="1" applyAlignment="1">
      <alignment horizontal="right"/>
    </xf>
    <xf numFmtId="0" fontId="0" fillId="0" borderId="10" xfId="0" applyBorder="1" applyAlignment="1">
      <alignment wrapText="1"/>
    </xf>
    <xf numFmtId="0" fontId="0" fillId="0" borderId="1" xfId="0" applyBorder="1" applyAlignment="1">
      <alignment wrapText="1"/>
    </xf>
    <xf numFmtId="0" fontId="0" fillId="0" borderId="15" xfId="0" applyBorder="1" applyAlignment="1">
      <alignment wrapText="1"/>
    </xf>
    <xf numFmtId="0" fontId="0" fillId="0" borderId="60" xfId="0" applyBorder="1" applyAlignment="1">
      <alignment wrapText="1"/>
    </xf>
    <xf numFmtId="0" fontId="0" fillId="28" borderId="10" xfId="0" applyFill="1" applyBorder="1" applyAlignment="1">
      <alignment wrapText="1"/>
    </xf>
    <xf numFmtId="0" fontId="0" fillId="28" borderId="15" xfId="0" applyFill="1" applyBorder="1" applyAlignment="1">
      <alignment wrapText="1"/>
    </xf>
    <xf numFmtId="0" fontId="0" fillId="0" borderId="105" xfId="0" applyBorder="1" applyAlignment="1" applyProtection="1">
      <alignment horizontal="center"/>
      <protection hidden="1"/>
    </xf>
    <xf numFmtId="0" fontId="0" fillId="0" borderId="106" xfId="0" applyBorder="1" applyAlignment="1" applyProtection="1">
      <alignment horizontal="center"/>
      <protection hidden="1"/>
    </xf>
    <xf numFmtId="0" fontId="41" fillId="9" borderId="69" xfId="0" applyFont="1" applyFill="1" applyBorder="1" applyProtection="1">
      <protection hidden="1"/>
    </xf>
    <xf numFmtId="0" fontId="41" fillId="9" borderId="11" xfId="0" applyFont="1" applyFill="1" applyBorder="1" applyProtection="1">
      <protection hidden="1"/>
    </xf>
    <xf numFmtId="0" fontId="0" fillId="0" borderId="18" xfId="0" applyBorder="1" applyAlignment="1" applyProtection="1">
      <alignment horizontal="center"/>
      <protection hidden="1"/>
    </xf>
    <xf numFmtId="0" fontId="0" fillId="0" borderId="0" xfId="0" applyAlignment="1" applyProtection="1">
      <alignment horizontal="left"/>
      <protection hidden="1"/>
    </xf>
    <xf numFmtId="0" fontId="43" fillId="0" borderId="0" xfId="0" applyFont="1" applyAlignment="1" applyProtection="1">
      <alignment horizontal="left"/>
      <protection hidden="1"/>
    </xf>
    <xf numFmtId="0" fontId="43" fillId="0" borderId="0" xfId="0" applyFont="1"/>
    <xf numFmtId="0" fontId="0" fillId="29" borderId="9" xfId="0" applyFill="1" applyBorder="1" applyAlignment="1" applyProtection="1">
      <alignment horizontal="center"/>
      <protection hidden="1"/>
    </xf>
    <xf numFmtId="0" fontId="0" fillId="29" borderId="10" xfId="0" applyFill="1" applyBorder="1" applyAlignment="1" applyProtection="1">
      <alignment horizontal="center"/>
      <protection hidden="1"/>
    </xf>
    <xf numFmtId="0" fontId="0" fillId="29" borderId="1" xfId="0" applyFill="1" applyBorder="1" applyAlignment="1" applyProtection="1">
      <alignment horizontal="center"/>
      <protection hidden="1"/>
    </xf>
    <xf numFmtId="0" fontId="0" fillId="29" borderId="1" xfId="0" applyFill="1" applyBorder="1" applyAlignment="1" applyProtection="1">
      <alignment horizontal="center" vertical="center"/>
      <protection hidden="1"/>
    </xf>
    <xf numFmtId="0" fontId="0" fillId="30" borderId="1" xfId="0" applyFill="1" applyBorder="1" applyAlignment="1" applyProtection="1">
      <alignment horizontal="center" vertical="center"/>
      <protection hidden="1"/>
    </xf>
    <xf numFmtId="0" fontId="0" fillId="31" borderId="1" xfId="0" applyFill="1" applyBorder="1" applyAlignment="1" applyProtection="1">
      <alignment horizontal="center" vertical="center"/>
      <protection hidden="1"/>
    </xf>
    <xf numFmtId="0" fontId="0" fillId="32" borderId="1" xfId="0" applyFill="1" applyBorder="1" applyAlignment="1" applyProtection="1">
      <alignment horizontal="center" vertical="center"/>
      <protection hidden="1"/>
    </xf>
    <xf numFmtId="0" fontId="0" fillId="33" borderId="1" xfId="0" applyFill="1" applyBorder="1" applyAlignment="1" applyProtection="1">
      <alignment horizontal="center" vertical="center"/>
      <protection hidden="1"/>
    </xf>
    <xf numFmtId="0" fontId="0" fillId="17" borderId="69" xfId="0" applyFill="1" applyBorder="1" applyAlignment="1">
      <alignment horizontal="center" wrapText="1"/>
    </xf>
    <xf numFmtId="0" fontId="41" fillId="0" borderId="0" xfId="0" applyFont="1" applyAlignment="1">
      <alignment horizontal="center"/>
    </xf>
    <xf numFmtId="0" fontId="44" fillId="0" borderId="0" xfId="0" applyFont="1" applyAlignment="1">
      <alignment horizontal="center"/>
    </xf>
    <xf numFmtId="1" fontId="0" fillId="17" borderId="106" xfId="0" applyNumberFormat="1" applyFill="1" applyBorder="1" applyAlignment="1">
      <alignment horizontal="center"/>
    </xf>
    <xf numFmtId="1" fontId="0" fillId="17" borderId="301" xfId="0" applyNumberFormat="1" applyFill="1" applyBorder="1" applyAlignment="1">
      <alignment horizontal="center"/>
    </xf>
    <xf numFmtId="1" fontId="0" fillId="17" borderId="26" xfId="0" applyNumberFormat="1" applyFill="1" applyBorder="1" applyAlignment="1">
      <alignment horizontal="center"/>
    </xf>
    <xf numFmtId="1" fontId="0" fillId="17" borderId="29" xfId="0" applyNumberFormat="1" applyFill="1" applyBorder="1" applyAlignment="1">
      <alignment horizontal="center"/>
    </xf>
    <xf numFmtId="1" fontId="0" fillId="17" borderId="21" xfId="0" applyNumberFormat="1" applyFill="1" applyBorder="1" applyAlignment="1">
      <alignment horizontal="center"/>
    </xf>
    <xf numFmtId="1" fontId="0" fillId="17" borderId="145" xfId="0" applyNumberFormat="1" applyFill="1" applyBorder="1" applyAlignment="1">
      <alignment horizontal="center"/>
    </xf>
    <xf numFmtId="3" fontId="45" fillId="17" borderId="10" xfId="0" applyNumberFormat="1" applyFont="1" applyFill="1" applyBorder="1" applyProtection="1">
      <protection hidden="1"/>
    </xf>
    <xf numFmtId="3" fontId="45" fillId="17" borderId="0" xfId="0" applyNumberFormat="1" applyFont="1" applyFill="1" applyProtection="1">
      <protection hidden="1"/>
    </xf>
    <xf numFmtId="1" fontId="46" fillId="18" borderId="0" xfId="0" applyNumberFormat="1" applyFont="1" applyFill="1" applyProtection="1">
      <protection hidden="1"/>
    </xf>
    <xf numFmtId="0" fontId="0" fillId="35" borderId="0" xfId="0" applyFill="1"/>
    <xf numFmtId="1" fontId="47" fillId="35" borderId="0" xfId="0" applyNumberFormat="1" applyFont="1" applyFill="1"/>
    <xf numFmtId="0" fontId="38" fillId="35" borderId="0" xfId="0" applyFont="1" applyFill="1"/>
    <xf numFmtId="3" fontId="50" fillId="17" borderId="0" xfId="0" applyNumberFormat="1" applyFont="1" applyFill="1" applyAlignment="1" applyProtection="1">
      <alignment horizontal="left"/>
      <protection hidden="1"/>
    </xf>
    <xf numFmtId="3" fontId="50" fillId="17" borderId="10" xfId="0" applyNumberFormat="1" applyFont="1" applyFill="1" applyBorder="1" applyProtection="1">
      <protection hidden="1"/>
    </xf>
    <xf numFmtId="2" fontId="0" fillId="0" borderId="0" xfId="0" applyNumberFormat="1"/>
    <xf numFmtId="0" fontId="39" fillId="0" borderId="0" xfId="0" applyFont="1"/>
    <xf numFmtId="0" fontId="51" fillId="0" borderId="0" xfId="0" applyFont="1"/>
    <xf numFmtId="0" fontId="52" fillId="0" borderId="0" xfId="0" applyFont="1"/>
    <xf numFmtId="0" fontId="41" fillId="0" borderId="0" xfId="0" applyFont="1"/>
    <xf numFmtId="3" fontId="53" fillId="35" borderId="0" xfId="0" applyNumberFormat="1" applyFont="1" applyFill="1" applyAlignment="1" applyProtection="1">
      <alignment horizontal="right"/>
      <protection hidden="1"/>
    </xf>
    <xf numFmtId="3" fontId="53" fillId="35" borderId="0" xfId="0" applyNumberFormat="1" applyFont="1" applyFill="1" applyAlignment="1">
      <alignment horizontal="right"/>
    </xf>
    <xf numFmtId="3" fontId="53" fillId="11" borderId="0" xfId="0" applyNumberFormat="1" applyFont="1" applyFill="1" applyAlignment="1" applyProtection="1">
      <alignment horizontal="right"/>
      <protection hidden="1"/>
    </xf>
    <xf numFmtId="0" fontId="5" fillId="2" borderId="257" xfId="0" applyFont="1" applyFill="1" applyBorder="1" applyAlignment="1" applyProtection="1">
      <alignment horizontal="center"/>
      <protection hidden="1"/>
    </xf>
    <xf numFmtId="3" fontId="0" fillId="0" borderId="0" xfId="0" applyNumberFormat="1"/>
    <xf numFmtId="0" fontId="6" fillId="0" borderId="0" xfId="0" applyFont="1" applyAlignment="1" applyProtection="1">
      <alignment horizontal="center" vertical="center"/>
      <protection hidden="1"/>
    </xf>
    <xf numFmtId="0" fontId="20" fillId="17" borderId="0" xfId="0" applyFont="1" applyFill="1" applyProtection="1">
      <protection hidden="1"/>
    </xf>
    <xf numFmtId="0" fontId="0" fillId="17" borderId="0" xfId="0" applyFill="1" applyProtection="1">
      <protection hidden="1"/>
    </xf>
    <xf numFmtId="0" fontId="41" fillId="9" borderId="67" xfId="0" applyFont="1" applyFill="1" applyBorder="1"/>
    <xf numFmtId="0" fontId="56" fillId="38" borderId="63" xfId="0" applyFont="1" applyFill="1" applyBorder="1" applyAlignment="1" applyProtection="1">
      <alignment horizontal="center" vertical="center"/>
      <protection hidden="1"/>
    </xf>
    <xf numFmtId="0" fontId="57" fillId="38" borderId="63" xfId="0" applyFont="1" applyFill="1" applyBorder="1" applyAlignment="1" applyProtection="1">
      <alignment horizontal="center" vertical="center"/>
      <protection hidden="1"/>
    </xf>
    <xf numFmtId="0" fontId="57" fillId="38" borderId="144" xfId="0" applyFont="1" applyFill="1" applyBorder="1" applyAlignment="1" applyProtection="1">
      <alignment horizontal="center" vertical="center"/>
      <protection hidden="1"/>
    </xf>
    <xf numFmtId="0" fontId="57" fillId="38" borderId="126" xfId="0" applyFont="1" applyFill="1" applyBorder="1" applyAlignment="1" applyProtection="1">
      <alignment horizontal="center"/>
      <protection hidden="1"/>
    </xf>
    <xf numFmtId="0" fontId="57" fillId="38" borderId="144" xfId="0" applyFont="1" applyFill="1" applyBorder="1" applyAlignment="1" applyProtection="1">
      <alignment horizontal="center"/>
      <protection hidden="1"/>
    </xf>
    <xf numFmtId="0" fontId="57" fillId="38" borderId="29" xfId="0" applyFont="1" applyFill="1" applyBorder="1" applyAlignment="1" applyProtection="1">
      <alignment horizontal="center"/>
      <protection hidden="1"/>
    </xf>
    <xf numFmtId="0" fontId="57" fillId="38" borderId="145" xfId="0" applyFont="1" applyFill="1" applyBorder="1" applyAlignment="1" applyProtection="1">
      <alignment horizontal="center"/>
      <protection hidden="1"/>
    </xf>
    <xf numFmtId="0" fontId="57" fillId="38" borderId="101" xfId="0" applyFont="1" applyFill="1" applyBorder="1" applyAlignment="1" applyProtection="1">
      <alignment horizontal="center"/>
      <protection hidden="1"/>
    </xf>
    <xf numFmtId="38" fontId="57" fillId="17" borderId="67" xfId="0" applyNumberFormat="1" applyFont="1" applyFill="1" applyBorder="1" applyAlignment="1" applyProtection="1">
      <alignment horizontal="center" vertical="center"/>
      <protection hidden="1"/>
    </xf>
    <xf numFmtId="38" fontId="58" fillId="37" borderId="63" xfId="0" applyNumberFormat="1" applyFont="1" applyFill="1" applyBorder="1" applyAlignment="1" applyProtection="1">
      <alignment vertical="center"/>
      <protection hidden="1"/>
    </xf>
    <xf numFmtId="38" fontId="58" fillId="37" borderId="69" xfId="0" applyNumberFormat="1" applyFont="1" applyFill="1" applyBorder="1" applyAlignment="1" applyProtection="1">
      <alignment vertical="center"/>
      <protection hidden="1"/>
    </xf>
    <xf numFmtId="3" fontId="4" fillId="2" borderId="69" xfId="0" applyNumberFormat="1" applyFont="1" applyFill="1" applyBorder="1" applyProtection="1">
      <protection hidden="1"/>
    </xf>
    <xf numFmtId="0" fontId="4" fillId="2" borderId="308" xfId="0" applyFont="1" applyFill="1" applyBorder="1" applyProtection="1">
      <protection hidden="1"/>
    </xf>
    <xf numFmtId="0" fontId="4" fillId="2" borderId="311" xfId="0" applyFont="1" applyFill="1" applyBorder="1" applyProtection="1">
      <protection hidden="1"/>
    </xf>
    <xf numFmtId="0" fontId="0" fillId="3" borderId="312" xfId="0" applyFill="1" applyBorder="1" applyProtection="1">
      <protection locked="0" hidden="1"/>
    </xf>
    <xf numFmtId="0" fontId="56" fillId="0" borderId="0" xfId="0" applyFont="1" applyAlignment="1" applyProtection="1">
      <alignment horizontal="center" vertical="center"/>
      <protection hidden="1"/>
    </xf>
    <xf numFmtId="0" fontId="57" fillId="0" borderId="0" xfId="0" applyFont="1" applyAlignment="1" applyProtection="1">
      <alignment horizontal="center" vertical="center"/>
      <protection hidden="1"/>
    </xf>
    <xf numFmtId="0" fontId="59" fillId="0" borderId="0" xfId="0" applyFont="1" applyAlignment="1" applyProtection="1">
      <alignment horizontal="center" vertical="center" wrapText="1"/>
      <protection hidden="1"/>
    </xf>
    <xf numFmtId="0" fontId="58" fillId="0" borderId="0" xfId="0" applyFont="1" applyAlignment="1" applyProtection="1">
      <alignment horizontal="center" vertical="center" wrapText="1"/>
      <protection hidden="1"/>
    </xf>
    <xf numFmtId="38" fontId="57" fillId="0" borderId="0" xfId="0" applyNumberFormat="1" applyFont="1" applyAlignment="1" applyProtection="1">
      <alignment horizontal="center" vertical="center"/>
      <protection hidden="1"/>
    </xf>
    <xf numFmtId="38" fontId="57" fillId="0" borderId="0" xfId="0" applyNumberFormat="1" applyFont="1" applyAlignment="1" applyProtection="1">
      <alignment vertical="center"/>
      <protection hidden="1"/>
    </xf>
    <xf numFmtId="38" fontId="60" fillId="0" borderId="0" xfId="0" applyNumberFormat="1" applyFont="1" applyAlignment="1" applyProtection="1">
      <alignment vertical="center"/>
      <protection hidden="1"/>
    </xf>
    <xf numFmtId="0" fontId="57" fillId="0" borderId="0" xfId="0" applyFont="1" applyAlignment="1" applyProtection="1">
      <alignment vertical="center"/>
      <protection hidden="1"/>
    </xf>
    <xf numFmtId="166" fontId="5" fillId="0" borderId="0" xfId="0" applyNumberFormat="1" applyFont="1" applyAlignment="1" applyProtection="1">
      <alignment horizontal="center"/>
      <protection hidden="1"/>
    </xf>
    <xf numFmtId="166" fontId="5" fillId="0" borderId="0" xfId="0" applyNumberFormat="1" applyFont="1" applyProtection="1">
      <protection hidden="1"/>
    </xf>
    <xf numFmtId="0" fontId="0" fillId="3" borderId="42" xfId="0" applyFill="1" applyBorder="1" applyAlignment="1" applyProtection="1">
      <alignment horizontal="right"/>
      <protection locked="0" hidden="1"/>
    </xf>
    <xf numFmtId="0" fontId="0" fillId="3" borderId="43" xfId="0" applyFill="1" applyBorder="1" applyAlignment="1" applyProtection="1">
      <alignment horizontal="right"/>
      <protection locked="0" hidden="1"/>
    </xf>
    <xf numFmtId="0" fontId="4" fillId="3" borderId="42" xfId="0" applyFont="1" applyFill="1" applyBorder="1" applyProtection="1">
      <protection locked="0" hidden="1"/>
    </xf>
    <xf numFmtId="1" fontId="36" fillId="0" borderId="0" xfId="0" applyNumberFormat="1" applyFont="1"/>
    <xf numFmtId="165" fontId="22" fillId="2" borderId="320" xfId="0" applyNumberFormat="1" applyFont="1" applyFill="1" applyBorder="1" applyProtection="1">
      <protection hidden="1"/>
    </xf>
    <xf numFmtId="0" fontId="16" fillId="0" borderId="0" xfId="0" applyFont="1" applyAlignment="1" applyProtection="1">
      <alignment horizontal="center" vertical="center" wrapText="1"/>
      <protection hidden="1"/>
    </xf>
    <xf numFmtId="0" fontId="0" fillId="0" borderId="0" xfId="0" applyAlignment="1" applyProtection="1">
      <alignment horizontal="center" wrapText="1"/>
      <protection hidden="1"/>
    </xf>
    <xf numFmtId="0" fontId="4" fillId="0" borderId="96" xfId="0" applyFont="1" applyBorder="1" applyAlignment="1" applyProtection="1">
      <alignment horizontal="center"/>
      <protection hidden="1"/>
    </xf>
    <xf numFmtId="0" fontId="0" fillId="0" borderId="96" xfId="0" applyBorder="1" applyAlignment="1" applyProtection="1">
      <alignment horizontal="center"/>
      <protection hidden="1"/>
    </xf>
    <xf numFmtId="0" fontId="7" fillId="0" borderId="96" xfId="0" applyFont="1" applyBorder="1" applyProtection="1">
      <protection hidden="1"/>
    </xf>
    <xf numFmtId="0" fontId="0" fillId="0" borderId="96" xfId="0" applyBorder="1" applyProtection="1">
      <protection hidden="1"/>
    </xf>
    <xf numFmtId="0" fontId="4" fillId="8" borderId="67" xfId="0" applyFont="1" applyFill="1" applyBorder="1" applyAlignment="1" applyProtection="1">
      <alignment horizontal="right"/>
      <protection hidden="1"/>
    </xf>
    <xf numFmtId="0" fontId="4" fillId="8" borderId="63" xfId="0" applyFont="1" applyFill="1" applyBorder="1" applyAlignment="1" applyProtection="1">
      <alignment horizontal="right"/>
      <protection hidden="1"/>
    </xf>
    <xf numFmtId="0" fontId="4" fillId="8" borderId="69" xfId="0" applyFont="1" applyFill="1" applyBorder="1" applyAlignment="1" applyProtection="1">
      <alignment horizontal="right"/>
      <protection hidden="1"/>
    </xf>
    <xf numFmtId="0" fontId="38" fillId="41" borderId="62" xfId="0" applyFont="1" applyFill="1" applyBorder="1" applyAlignment="1" applyProtection="1">
      <alignment horizontal="right"/>
      <protection hidden="1"/>
    </xf>
    <xf numFmtId="0" fontId="20" fillId="20" borderId="62" xfId="0" applyFont="1" applyFill="1" applyBorder="1" applyAlignment="1" applyProtection="1">
      <alignment horizontal="right"/>
      <protection hidden="1"/>
    </xf>
    <xf numFmtId="0" fontId="20" fillId="18" borderId="61" xfId="0" applyFont="1" applyFill="1" applyBorder="1" applyAlignment="1" applyProtection="1">
      <alignment horizontal="right"/>
      <protection hidden="1"/>
    </xf>
    <xf numFmtId="0" fontId="20" fillId="42" borderId="61" xfId="0" applyFont="1" applyFill="1" applyBorder="1" applyAlignment="1" applyProtection="1">
      <alignment horizontal="right"/>
      <protection hidden="1"/>
    </xf>
    <xf numFmtId="0" fontId="38" fillId="19" borderId="61" xfId="0" applyFont="1" applyFill="1" applyBorder="1" applyAlignment="1" applyProtection="1">
      <alignment horizontal="right"/>
      <protection hidden="1"/>
    </xf>
    <xf numFmtId="0" fontId="20" fillId="22" borderId="62" xfId="0" applyFont="1" applyFill="1" applyBorder="1" applyAlignment="1" applyProtection="1">
      <alignment horizontal="right"/>
      <protection hidden="1"/>
    </xf>
    <xf numFmtId="0" fontId="65" fillId="20" borderId="62" xfId="0" applyFont="1" applyFill="1" applyBorder="1" applyAlignment="1" applyProtection="1">
      <alignment horizontal="right"/>
      <protection hidden="1"/>
    </xf>
    <xf numFmtId="0" fontId="65" fillId="18" borderId="63" xfId="0" applyFont="1" applyFill="1" applyBorder="1" applyAlignment="1" applyProtection="1">
      <alignment horizontal="right"/>
      <protection hidden="1"/>
    </xf>
    <xf numFmtId="0" fontId="0" fillId="8" borderId="67" xfId="0" applyFill="1" applyBorder="1" applyAlignment="1" applyProtection="1">
      <alignment horizontal="right"/>
      <protection hidden="1"/>
    </xf>
    <xf numFmtId="0" fontId="0" fillId="8" borderId="63" xfId="0" applyFill="1" applyBorder="1" applyAlignment="1" applyProtection="1">
      <alignment horizontal="right"/>
      <protection hidden="1"/>
    </xf>
    <xf numFmtId="0" fontId="0" fillId="8" borderId="69" xfId="0" applyFill="1" applyBorder="1" applyAlignment="1" applyProtection="1">
      <alignment horizontal="right"/>
      <protection hidden="1"/>
    </xf>
    <xf numFmtId="0" fontId="65" fillId="20" borderId="16" xfId="0" applyFont="1" applyFill="1" applyBorder="1" applyAlignment="1" applyProtection="1">
      <alignment horizontal="right"/>
      <protection hidden="1"/>
    </xf>
    <xf numFmtId="0" fontId="65" fillId="18" borderId="27" xfId="0" applyFont="1" applyFill="1" applyBorder="1" applyAlignment="1" applyProtection="1">
      <alignment horizontal="right"/>
      <protection hidden="1"/>
    </xf>
    <xf numFmtId="0" fontId="0" fillId="43" borderId="113" xfId="0" applyFill="1" applyBorder="1" applyProtection="1">
      <protection hidden="1"/>
    </xf>
    <xf numFmtId="0" fontId="0" fillId="43" borderId="111" xfId="0" applyFill="1" applyBorder="1" applyProtection="1">
      <protection hidden="1"/>
    </xf>
    <xf numFmtId="0" fontId="0" fillId="43" borderId="119" xfId="0" applyFill="1" applyBorder="1" applyProtection="1">
      <protection hidden="1"/>
    </xf>
    <xf numFmtId="0" fontId="17" fillId="8" borderId="76" xfId="0" applyFont="1" applyFill="1" applyBorder="1" applyAlignment="1" applyProtection="1">
      <alignment horizontal="center"/>
      <protection hidden="1"/>
    </xf>
    <xf numFmtId="0" fontId="17" fillId="8" borderId="16" xfId="0" applyFont="1" applyFill="1" applyBorder="1" applyAlignment="1" applyProtection="1">
      <alignment horizontal="center"/>
      <protection hidden="1"/>
    </xf>
    <xf numFmtId="0" fontId="17" fillId="8" borderId="27" xfId="0" applyFont="1" applyFill="1" applyBorder="1" applyAlignment="1" applyProtection="1">
      <alignment horizontal="center"/>
      <protection hidden="1"/>
    </xf>
    <xf numFmtId="0" fontId="0" fillId="24" borderId="0" xfId="0" applyFill="1" applyProtection="1">
      <protection hidden="1"/>
    </xf>
    <xf numFmtId="0" fontId="43" fillId="0" borderId="0" xfId="0" applyFont="1" applyProtection="1">
      <protection hidden="1"/>
    </xf>
    <xf numFmtId="0" fontId="63" fillId="0" borderId="0" xfId="1" applyProtection="1">
      <protection hidden="1"/>
    </xf>
    <xf numFmtId="0" fontId="14" fillId="8" borderId="259" xfId="0" applyFont="1" applyFill="1" applyBorder="1" applyAlignment="1" applyProtection="1">
      <alignment horizontal="center" vertical="center"/>
      <protection hidden="1"/>
    </xf>
    <xf numFmtId="0" fontId="14" fillId="8" borderId="260" xfId="0" applyFont="1" applyFill="1" applyBorder="1" applyAlignment="1" applyProtection="1">
      <alignment horizontal="center" vertical="center" wrapText="1"/>
      <protection hidden="1"/>
    </xf>
    <xf numFmtId="0" fontId="14" fillId="8" borderId="142" xfId="0" applyFont="1" applyFill="1" applyBorder="1" applyAlignment="1" applyProtection="1">
      <alignment horizontal="center" vertical="center"/>
      <protection hidden="1"/>
    </xf>
    <xf numFmtId="0" fontId="14" fillId="8" borderId="261" xfId="0" applyFont="1" applyFill="1" applyBorder="1" applyAlignment="1" applyProtection="1">
      <alignment horizontal="center" vertical="center"/>
      <protection hidden="1"/>
    </xf>
    <xf numFmtId="166" fontId="12" fillId="0" borderId="133" xfId="0" applyNumberFormat="1" applyFont="1" applyBorder="1" applyAlignment="1" applyProtection="1">
      <alignment horizontal="center" vertical="center"/>
      <protection hidden="1"/>
    </xf>
    <xf numFmtId="0" fontId="12" fillId="3" borderId="133" xfId="0" applyFont="1" applyFill="1" applyBorder="1" applyAlignment="1" applyProtection="1">
      <alignment horizontal="center" vertical="center"/>
      <protection hidden="1"/>
    </xf>
    <xf numFmtId="0" fontId="33" fillId="5" borderId="134" xfId="0" applyFont="1" applyFill="1" applyBorder="1" applyAlignment="1" applyProtection="1">
      <alignment horizontal="center" vertical="center"/>
      <protection hidden="1"/>
    </xf>
    <xf numFmtId="0" fontId="33" fillId="5" borderId="140" xfId="0" applyFont="1" applyFill="1" applyBorder="1" applyAlignment="1" applyProtection="1">
      <alignment horizontal="center" vertical="center"/>
      <protection hidden="1"/>
    </xf>
    <xf numFmtId="0" fontId="12" fillId="6" borderId="140" xfId="0" applyFont="1" applyFill="1" applyBorder="1" applyAlignment="1" applyProtection="1">
      <alignment horizontal="center" vertical="center"/>
      <protection hidden="1"/>
    </xf>
    <xf numFmtId="166" fontId="12" fillId="0" borderId="139" xfId="0" applyNumberFormat="1" applyFont="1" applyBorder="1" applyAlignment="1" applyProtection="1">
      <alignment horizontal="center" vertical="center"/>
      <protection hidden="1"/>
    </xf>
    <xf numFmtId="0" fontId="12" fillId="3" borderId="139" xfId="0" applyFont="1" applyFill="1" applyBorder="1" applyAlignment="1" applyProtection="1">
      <alignment horizontal="center" vertical="center"/>
      <protection hidden="1"/>
    </xf>
    <xf numFmtId="0" fontId="12" fillId="4" borderId="132" xfId="0" applyFont="1" applyFill="1" applyBorder="1" applyAlignment="1" applyProtection="1">
      <alignment horizontal="center" vertical="center"/>
      <protection hidden="1"/>
    </xf>
    <xf numFmtId="0" fontId="33" fillId="5" borderId="139" xfId="0" applyFont="1" applyFill="1" applyBorder="1" applyAlignment="1" applyProtection="1">
      <alignment horizontal="center" vertical="center"/>
      <protection hidden="1"/>
    </xf>
    <xf numFmtId="0" fontId="12" fillId="4" borderId="140" xfId="0" applyFont="1" applyFill="1" applyBorder="1" applyAlignment="1" applyProtection="1">
      <alignment horizontal="center" vertical="center"/>
      <protection hidden="1"/>
    </xf>
    <xf numFmtId="0" fontId="12" fillId="4" borderId="133" xfId="0" applyFont="1" applyFill="1" applyBorder="1" applyAlignment="1" applyProtection="1">
      <alignment horizontal="center" vertical="center"/>
      <protection hidden="1"/>
    </xf>
    <xf numFmtId="0" fontId="33" fillId="5" borderId="133" xfId="0" applyFont="1" applyFill="1" applyBorder="1" applyAlignment="1" applyProtection="1">
      <alignment horizontal="center" vertical="center"/>
      <protection hidden="1"/>
    </xf>
    <xf numFmtId="0" fontId="33" fillId="5" borderId="141" xfId="0" applyFont="1" applyFill="1" applyBorder="1" applyAlignment="1" applyProtection="1">
      <alignment horizontal="center" vertical="center"/>
      <protection hidden="1"/>
    </xf>
    <xf numFmtId="0" fontId="12" fillId="6" borderId="133" xfId="0" applyFont="1" applyFill="1" applyBorder="1" applyAlignment="1" applyProtection="1">
      <alignment horizontal="center" vertical="center"/>
      <protection hidden="1"/>
    </xf>
    <xf numFmtId="0" fontId="12" fillId="4" borderId="141" xfId="0" applyFont="1" applyFill="1" applyBorder="1" applyAlignment="1" applyProtection="1">
      <alignment horizontal="center" vertical="center"/>
      <protection hidden="1"/>
    </xf>
    <xf numFmtId="0" fontId="12" fillId="3" borderId="140" xfId="0" applyFont="1" applyFill="1" applyBorder="1" applyAlignment="1" applyProtection="1">
      <alignment horizontal="center" vertical="center"/>
      <protection hidden="1"/>
    </xf>
    <xf numFmtId="166" fontId="12" fillId="0" borderId="142" xfId="0" applyNumberFormat="1" applyFont="1" applyBorder="1" applyAlignment="1" applyProtection="1">
      <alignment horizontal="center" vertical="center"/>
      <protection hidden="1"/>
    </xf>
    <xf numFmtId="0" fontId="12" fillId="0" borderId="142" xfId="0" applyFont="1" applyBorder="1" applyAlignment="1" applyProtection="1">
      <alignment horizontal="center" vertical="center"/>
      <protection hidden="1"/>
    </xf>
    <xf numFmtId="166" fontId="12" fillId="0" borderId="143" xfId="0" applyNumberFormat="1" applyFont="1" applyBorder="1" applyAlignment="1" applyProtection="1">
      <alignment horizontal="center" vertical="center"/>
      <protection hidden="1"/>
    </xf>
    <xf numFmtId="0" fontId="12" fillId="0" borderId="143" xfId="0" applyFont="1" applyBorder="1" applyAlignment="1" applyProtection="1">
      <alignment horizontal="center" vertical="center"/>
      <protection hidden="1"/>
    </xf>
    <xf numFmtId="0" fontId="14" fillId="0" borderId="59" xfId="0" applyFont="1" applyBorder="1" applyProtection="1">
      <protection hidden="1"/>
    </xf>
    <xf numFmtId="0" fontId="11" fillId="0" borderId="0" xfId="0" applyFont="1" applyAlignment="1" applyProtection="1">
      <alignment vertical="center"/>
      <protection hidden="1"/>
    </xf>
    <xf numFmtId="0" fontId="10" fillId="0" borderId="0" xfId="0" applyFont="1" applyAlignment="1" applyProtection="1">
      <alignment horizontal="center" vertical="center"/>
      <protection hidden="1"/>
    </xf>
    <xf numFmtId="0" fontId="10" fillId="0" borderId="0" xfId="0" applyFont="1" applyAlignment="1" applyProtection="1">
      <alignment horizontal="left" vertical="center"/>
      <protection hidden="1"/>
    </xf>
    <xf numFmtId="0" fontId="14" fillId="13" borderId="135" xfId="0" applyFont="1" applyFill="1" applyBorder="1" applyAlignment="1" applyProtection="1">
      <alignment horizontal="center" vertical="center"/>
      <protection hidden="1"/>
    </xf>
    <xf numFmtId="0" fontId="14" fillId="13" borderId="136" xfId="0" applyFont="1" applyFill="1" applyBorder="1" applyAlignment="1" applyProtection="1">
      <alignment horizontal="center" vertical="center"/>
      <protection hidden="1"/>
    </xf>
    <xf numFmtId="0" fontId="14" fillId="13" borderId="137" xfId="0" applyFont="1" applyFill="1" applyBorder="1" applyAlignment="1" applyProtection="1">
      <alignment horizontal="center" vertical="center"/>
      <protection hidden="1"/>
    </xf>
    <xf numFmtId="0" fontId="14" fillId="13" borderId="138" xfId="0" applyFont="1" applyFill="1" applyBorder="1" applyAlignment="1" applyProtection="1">
      <alignment horizontal="center" vertical="center"/>
      <protection hidden="1"/>
    </xf>
    <xf numFmtId="0" fontId="0" fillId="0" borderId="146" xfId="0" applyBorder="1" applyAlignment="1" applyProtection="1">
      <alignment horizontal="center" vertical="center" wrapText="1"/>
      <protection hidden="1"/>
    </xf>
    <xf numFmtId="0" fontId="10" fillId="0" borderId="8" xfId="0" applyFont="1" applyBorder="1" applyAlignment="1" applyProtection="1">
      <alignment horizontal="center" vertical="center" wrapText="1"/>
      <protection hidden="1"/>
    </xf>
    <xf numFmtId="167" fontId="10" fillId="4" borderId="47" xfId="0" applyNumberFormat="1" applyFont="1" applyFill="1" applyBorder="1" applyAlignment="1" applyProtection="1">
      <alignment horizontal="center" vertical="center"/>
      <protection hidden="1"/>
    </xf>
    <xf numFmtId="0" fontId="10" fillId="4" borderId="48" xfId="0" applyFont="1" applyFill="1" applyBorder="1" applyAlignment="1" applyProtection="1">
      <alignment horizontal="center" vertical="center"/>
      <protection hidden="1"/>
    </xf>
    <xf numFmtId="0" fontId="18" fillId="5" borderId="47" xfId="0" applyFont="1" applyFill="1" applyBorder="1" applyAlignment="1" applyProtection="1">
      <alignment horizontal="center" vertical="center"/>
      <protection hidden="1"/>
    </xf>
    <xf numFmtId="0" fontId="18" fillId="5" borderId="48" xfId="0" applyFont="1" applyFill="1" applyBorder="1" applyAlignment="1" applyProtection="1">
      <alignment horizontal="center" vertical="center"/>
      <protection hidden="1"/>
    </xf>
    <xf numFmtId="0" fontId="18" fillId="5" borderId="49" xfId="0" applyFont="1" applyFill="1" applyBorder="1" applyAlignment="1" applyProtection="1">
      <alignment horizontal="center" vertical="center"/>
      <protection hidden="1"/>
    </xf>
    <xf numFmtId="0" fontId="18" fillId="5" borderId="50" xfId="0" applyFont="1" applyFill="1" applyBorder="1" applyAlignment="1" applyProtection="1">
      <alignment horizontal="center" vertical="center"/>
      <protection hidden="1"/>
    </xf>
    <xf numFmtId="0" fontId="0" fillId="0" borderId="147" xfId="0" applyBorder="1" applyAlignment="1" applyProtection="1">
      <alignment horizontal="center" vertical="center" wrapText="1"/>
      <protection hidden="1"/>
    </xf>
    <xf numFmtId="164" fontId="10" fillId="0" borderId="148" xfId="0" applyNumberFormat="1" applyFont="1" applyBorder="1" applyAlignment="1" applyProtection="1">
      <alignment horizontal="center" vertical="center" wrapText="1"/>
      <protection hidden="1"/>
    </xf>
    <xf numFmtId="0" fontId="10" fillId="0" borderId="8" xfId="0" applyFont="1" applyBorder="1" applyAlignment="1" applyProtection="1">
      <alignment horizontal="center" vertical="center"/>
      <protection hidden="1"/>
    </xf>
    <xf numFmtId="0" fontId="10" fillId="0" borderId="45" xfId="0" applyFont="1" applyBorder="1" applyAlignment="1" applyProtection="1">
      <alignment horizontal="center" vertical="center"/>
      <protection hidden="1"/>
    </xf>
    <xf numFmtId="167" fontId="18" fillId="5" borderId="149" xfId="0" applyNumberFormat="1" applyFont="1" applyFill="1" applyBorder="1" applyAlignment="1" applyProtection="1">
      <alignment horizontal="center" vertical="center"/>
      <protection hidden="1"/>
    </xf>
    <xf numFmtId="0" fontId="18" fillId="5" borderId="57" xfId="0" applyFont="1" applyFill="1" applyBorder="1" applyAlignment="1" applyProtection="1">
      <alignment horizontal="center" vertical="center"/>
      <protection hidden="1"/>
    </xf>
    <xf numFmtId="167" fontId="10" fillId="4" borderId="149" xfId="0" applyNumberFormat="1" applyFont="1" applyFill="1" applyBorder="1" applyAlignment="1" applyProtection="1">
      <alignment horizontal="center" vertical="center"/>
      <protection hidden="1"/>
    </xf>
    <xf numFmtId="0" fontId="10" fillId="4" borderId="57" xfId="0" applyFont="1" applyFill="1" applyBorder="1" applyAlignment="1" applyProtection="1">
      <alignment horizontal="center" vertical="center"/>
      <protection hidden="1"/>
    </xf>
    <xf numFmtId="0" fontId="18" fillId="5" borderId="149" xfId="0" applyFont="1" applyFill="1" applyBorder="1" applyAlignment="1" applyProtection="1">
      <alignment horizontal="center" vertical="center"/>
      <protection hidden="1"/>
    </xf>
    <xf numFmtId="0" fontId="18" fillId="5" borderId="51" xfId="0" applyFont="1" applyFill="1" applyBorder="1" applyAlignment="1" applyProtection="1">
      <alignment horizontal="center" vertical="center"/>
      <protection hidden="1"/>
    </xf>
    <xf numFmtId="0" fontId="18" fillId="5" borderId="52" xfId="0" applyFont="1" applyFill="1" applyBorder="1" applyAlignment="1" applyProtection="1">
      <alignment horizontal="center" vertical="center"/>
      <protection hidden="1"/>
    </xf>
    <xf numFmtId="0" fontId="10" fillId="0" borderId="152" xfId="0" applyFont="1" applyBorder="1" applyAlignment="1" applyProtection="1">
      <alignment horizontal="center" vertical="center"/>
      <protection hidden="1"/>
    </xf>
    <xf numFmtId="0" fontId="18" fillId="5" borderId="54" xfId="0" applyFont="1" applyFill="1" applyBorder="1" applyAlignment="1" applyProtection="1">
      <alignment horizontal="center" vertical="center"/>
      <protection hidden="1"/>
    </xf>
    <xf numFmtId="167" fontId="10" fillId="6" borderId="159" xfId="0" applyNumberFormat="1" applyFont="1" applyFill="1" applyBorder="1" applyAlignment="1" applyProtection="1">
      <alignment horizontal="center" vertical="center"/>
      <protection hidden="1"/>
    </xf>
    <xf numFmtId="0" fontId="10" fillId="6" borderId="136" xfId="0" applyFont="1" applyFill="1" applyBorder="1" applyAlignment="1" applyProtection="1">
      <alignment horizontal="center" vertical="center"/>
      <protection hidden="1"/>
    </xf>
    <xf numFmtId="167" fontId="10" fillId="4" borderId="135" xfId="0" applyNumberFormat="1" applyFont="1" applyFill="1" applyBorder="1" applyAlignment="1" applyProtection="1">
      <alignment horizontal="center" vertical="center"/>
      <protection hidden="1"/>
    </xf>
    <xf numFmtId="0" fontId="10" fillId="4" borderId="136" xfId="0" applyFont="1" applyFill="1" applyBorder="1" applyAlignment="1" applyProtection="1">
      <alignment horizontal="center" vertical="center"/>
      <protection hidden="1"/>
    </xf>
    <xf numFmtId="0" fontId="18" fillId="5" borderId="137" xfId="0" applyFont="1" applyFill="1" applyBorder="1" applyAlignment="1" applyProtection="1">
      <alignment horizontal="center" vertical="center"/>
      <protection hidden="1"/>
    </xf>
    <xf numFmtId="0" fontId="18" fillId="5" borderId="138" xfId="0" applyFont="1" applyFill="1" applyBorder="1" applyAlignment="1" applyProtection="1">
      <alignment horizontal="center" vertical="center"/>
      <protection hidden="1"/>
    </xf>
    <xf numFmtId="0" fontId="10" fillId="0" borderId="153" xfId="0" applyFont="1" applyBorder="1" applyAlignment="1" applyProtection="1">
      <alignment horizontal="center" vertical="center"/>
      <protection hidden="1"/>
    </xf>
    <xf numFmtId="167" fontId="18" fillId="5" borderId="154" xfId="0" applyNumberFormat="1" applyFont="1" applyFill="1" applyBorder="1" applyAlignment="1" applyProtection="1">
      <alignment horizontal="center" vertical="center"/>
      <protection hidden="1"/>
    </xf>
    <xf numFmtId="0" fontId="18" fillId="5" borderId="155" xfId="0" applyFont="1" applyFill="1" applyBorder="1" applyAlignment="1" applyProtection="1">
      <alignment horizontal="center" vertical="center"/>
      <protection hidden="1"/>
    </xf>
    <xf numFmtId="167" fontId="10" fillId="6" borderId="150" xfId="0" applyNumberFormat="1" applyFont="1" applyFill="1" applyBorder="1" applyAlignment="1" applyProtection="1">
      <alignment horizontal="center" vertical="center"/>
      <protection hidden="1"/>
    </xf>
    <xf numFmtId="0" fontId="10" fillId="6" borderId="155" xfId="0" applyFont="1" applyFill="1" applyBorder="1" applyAlignment="1" applyProtection="1">
      <alignment horizontal="center" vertical="center"/>
      <protection hidden="1"/>
    </xf>
    <xf numFmtId="167" fontId="10" fillId="4" borderId="154" xfId="0" applyNumberFormat="1" applyFont="1" applyFill="1" applyBorder="1" applyAlignment="1" applyProtection="1">
      <alignment horizontal="center" vertical="center"/>
      <protection hidden="1"/>
    </xf>
    <xf numFmtId="0" fontId="10" fillId="4" borderId="155" xfId="0" applyFont="1" applyFill="1" applyBorder="1" applyAlignment="1" applyProtection="1">
      <alignment horizontal="center" vertical="center"/>
      <protection hidden="1"/>
    </xf>
    <xf numFmtId="0" fontId="18" fillId="5" borderId="154" xfId="0" applyFont="1" applyFill="1" applyBorder="1" applyAlignment="1" applyProtection="1">
      <alignment horizontal="center" vertical="center"/>
      <protection hidden="1"/>
    </xf>
    <xf numFmtId="0" fontId="18" fillId="5" borderId="156" xfId="0" applyFont="1" applyFill="1" applyBorder="1" applyAlignment="1" applyProtection="1">
      <alignment horizontal="center" vertical="center"/>
      <protection hidden="1"/>
    </xf>
    <xf numFmtId="0" fontId="18" fillId="5" borderId="157" xfId="0" applyFont="1" applyFill="1" applyBorder="1" applyAlignment="1" applyProtection="1">
      <alignment horizontal="center" vertical="center"/>
      <protection hidden="1"/>
    </xf>
    <xf numFmtId="167" fontId="10" fillId="6" borderId="336" xfId="0" applyNumberFormat="1" applyFont="1" applyFill="1" applyBorder="1" applyAlignment="1" applyProtection="1">
      <alignment horizontal="center" vertical="center"/>
      <protection hidden="1"/>
    </xf>
    <xf numFmtId="167" fontId="10" fillId="3" borderId="149" xfId="0" applyNumberFormat="1" applyFont="1" applyFill="1" applyBorder="1" applyAlignment="1" applyProtection="1">
      <alignment horizontal="center" vertical="center"/>
      <protection hidden="1"/>
    </xf>
    <xf numFmtId="0" fontId="10" fillId="3" borderId="57" xfId="0" applyFont="1" applyFill="1" applyBorder="1" applyAlignment="1" applyProtection="1">
      <alignment horizontal="center" vertical="center"/>
      <protection hidden="1"/>
    </xf>
    <xf numFmtId="0" fontId="10" fillId="0" borderId="158" xfId="0" applyFont="1" applyBorder="1" applyAlignment="1" applyProtection="1">
      <alignment horizontal="center" vertical="center"/>
      <protection hidden="1"/>
    </xf>
    <xf numFmtId="167" fontId="18" fillId="5" borderId="159" xfId="0" applyNumberFormat="1" applyFont="1" applyFill="1" applyBorder="1" applyAlignment="1" applyProtection="1">
      <alignment horizontal="center" vertical="center"/>
      <protection hidden="1"/>
    </xf>
    <xf numFmtId="0" fontId="18" fillId="5" borderId="160" xfId="0" applyFont="1" applyFill="1" applyBorder="1" applyAlignment="1" applyProtection="1">
      <alignment horizontal="center" vertical="center"/>
      <protection hidden="1"/>
    </xf>
    <xf numFmtId="0" fontId="10" fillId="6" borderId="160" xfId="0" applyFont="1" applyFill="1" applyBorder="1" applyAlignment="1" applyProtection="1">
      <alignment horizontal="center" vertical="center"/>
      <protection hidden="1"/>
    </xf>
    <xf numFmtId="167" fontId="10" fillId="3" borderId="159" xfId="0" applyNumberFormat="1" applyFont="1" applyFill="1" applyBorder="1" applyAlignment="1" applyProtection="1">
      <alignment horizontal="center" vertical="center"/>
      <protection hidden="1"/>
    </xf>
    <xf numFmtId="0" fontId="10" fillId="3" borderId="160" xfId="0" applyFont="1" applyFill="1" applyBorder="1" applyAlignment="1" applyProtection="1">
      <alignment horizontal="center" vertical="center"/>
      <protection hidden="1"/>
    </xf>
    <xf numFmtId="167" fontId="10" fillId="4" borderId="161" xfId="0" applyNumberFormat="1" applyFont="1" applyFill="1" applyBorder="1" applyAlignment="1" applyProtection="1">
      <alignment horizontal="center" vertical="center"/>
      <protection hidden="1"/>
    </xf>
    <xf numFmtId="0" fontId="10" fillId="4" borderId="162" xfId="0" applyFont="1" applyFill="1" applyBorder="1" applyAlignment="1" applyProtection="1">
      <alignment horizontal="center" vertical="center"/>
      <protection hidden="1"/>
    </xf>
    <xf numFmtId="0" fontId="10" fillId="0" borderId="46" xfId="0" applyFont="1" applyBorder="1" applyAlignment="1" applyProtection="1">
      <alignment horizontal="center" vertical="center"/>
      <protection hidden="1"/>
    </xf>
    <xf numFmtId="167" fontId="18" fillId="5" borderId="150" xfId="0" applyNumberFormat="1" applyFont="1" applyFill="1" applyBorder="1" applyAlignment="1" applyProtection="1">
      <alignment horizontal="center" vertical="center"/>
      <protection hidden="1"/>
    </xf>
    <xf numFmtId="0" fontId="18" fillId="5" borderId="58" xfId="0" applyFont="1" applyFill="1" applyBorder="1" applyAlignment="1" applyProtection="1">
      <alignment horizontal="center" vertical="center"/>
      <protection hidden="1"/>
    </xf>
    <xf numFmtId="167" fontId="10" fillId="4" borderId="150" xfId="0" applyNumberFormat="1" applyFont="1" applyFill="1" applyBorder="1" applyAlignment="1" applyProtection="1">
      <alignment horizontal="center" vertical="center"/>
      <protection hidden="1"/>
    </xf>
    <xf numFmtId="0" fontId="10" fillId="4" borderId="58" xfId="0" applyFont="1" applyFill="1" applyBorder="1" applyAlignment="1" applyProtection="1">
      <alignment horizontal="center" vertical="center"/>
      <protection hidden="1"/>
    </xf>
    <xf numFmtId="0" fontId="18" fillId="5" borderId="53" xfId="0" applyFont="1" applyFill="1" applyBorder="1" applyAlignment="1" applyProtection="1">
      <alignment horizontal="center" vertical="center"/>
      <protection hidden="1"/>
    </xf>
    <xf numFmtId="0" fontId="18" fillId="5" borderId="55" xfId="0" applyFont="1" applyFill="1" applyBorder="1" applyAlignment="1" applyProtection="1">
      <alignment horizontal="center" vertical="center"/>
      <protection hidden="1"/>
    </xf>
    <xf numFmtId="0" fontId="18" fillId="5" borderId="56" xfId="0" applyFont="1" applyFill="1" applyBorder="1" applyAlignment="1" applyProtection="1">
      <alignment horizontal="center" vertical="center"/>
      <protection hidden="1"/>
    </xf>
    <xf numFmtId="0" fontId="10" fillId="6" borderId="58" xfId="0" applyFont="1" applyFill="1" applyBorder="1" applyAlignment="1" applyProtection="1">
      <alignment horizontal="center" vertical="center"/>
      <protection hidden="1"/>
    </xf>
    <xf numFmtId="167" fontId="10" fillId="4" borderId="337" xfId="0" applyNumberFormat="1" applyFont="1" applyFill="1" applyBorder="1" applyAlignment="1" applyProtection="1">
      <alignment horizontal="center" vertical="center"/>
      <protection hidden="1"/>
    </xf>
    <xf numFmtId="0" fontId="10" fillId="4" borderId="338" xfId="0" applyFont="1" applyFill="1" applyBorder="1" applyAlignment="1" applyProtection="1">
      <alignment horizontal="center" vertical="center"/>
      <protection hidden="1"/>
    </xf>
    <xf numFmtId="0" fontId="10" fillId="0" borderId="0" xfId="0" applyFont="1" applyProtection="1">
      <protection hidden="1"/>
    </xf>
    <xf numFmtId="0" fontId="57" fillId="38" borderId="340" xfId="0" applyFont="1" applyFill="1" applyBorder="1" applyAlignment="1" applyProtection="1">
      <alignment horizontal="center" vertical="center"/>
      <protection hidden="1"/>
    </xf>
    <xf numFmtId="0" fontId="66" fillId="9" borderId="0" xfId="0" applyFont="1" applyFill="1" applyAlignment="1">
      <alignment horizontal="left"/>
    </xf>
    <xf numFmtId="0" fontId="62" fillId="17" borderId="0" xfId="0" applyFont="1" applyFill="1" applyProtection="1">
      <protection hidden="1"/>
    </xf>
    <xf numFmtId="0" fontId="8" fillId="17" borderId="0" xfId="0" quotePrefix="1" applyFont="1" applyFill="1" applyProtection="1">
      <protection hidden="1"/>
    </xf>
    <xf numFmtId="0" fontId="0" fillId="17" borderId="0" xfId="0" quotePrefix="1" applyFill="1" applyProtection="1">
      <protection hidden="1"/>
    </xf>
    <xf numFmtId="0" fontId="0" fillId="17" borderId="0" xfId="0" applyFill="1" applyAlignment="1" applyProtection="1">
      <alignment horizontal="center"/>
      <protection hidden="1"/>
    </xf>
    <xf numFmtId="0" fontId="0" fillId="17" borderId="3" xfId="0" applyFill="1" applyBorder="1" applyAlignment="1" applyProtection="1">
      <alignment horizontal="right"/>
      <protection hidden="1"/>
    </xf>
    <xf numFmtId="0" fontId="0" fillId="17" borderId="4" xfId="0" applyFill="1" applyBorder="1" applyAlignment="1" applyProtection="1">
      <alignment horizontal="right"/>
      <protection hidden="1"/>
    </xf>
    <xf numFmtId="0" fontId="4" fillId="17" borderId="5" xfId="0" applyFont="1" applyFill="1" applyBorder="1" applyAlignment="1" applyProtection="1">
      <alignment horizontal="center"/>
      <protection hidden="1"/>
    </xf>
    <xf numFmtId="0" fontId="7" fillId="17" borderId="0" xfId="0" quotePrefix="1" applyFont="1" applyFill="1" applyProtection="1">
      <protection hidden="1"/>
    </xf>
    <xf numFmtId="0" fontId="0" fillId="17" borderId="6" xfId="0" applyFill="1" applyBorder="1" applyProtection="1">
      <protection hidden="1"/>
    </xf>
    <xf numFmtId="0" fontId="1" fillId="3" borderId="167" xfId="0" applyFont="1" applyFill="1" applyBorder="1" applyAlignment="1" applyProtection="1">
      <alignment horizontal="center"/>
      <protection locked="0" hidden="1"/>
    </xf>
    <xf numFmtId="0" fontId="0" fillId="3" borderId="167" xfId="0" applyFill="1" applyBorder="1" applyAlignment="1" applyProtection="1">
      <alignment horizontal="center"/>
      <protection locked="0" hidden="1"/>
    </xf>
    <xf numFmtId="0" fontId="0" fillId="0" borderId="0" xfId="0" applyProtection="1">
      <protection locked="0"/>
    </xf>
    <xf numFmtId="167" fontId="10" fillId="4" borderId="348" xfId="0" applyNumberFormat="1" applyFont="1" applyFill="1" applyBorder="1" applyAlignment="1" applyProtection="1">
      <alignment horizontal="center" vertical="center"/>
      <protection hidden="1"/>
    </xf>
    <xf numFmtId="0" fontId="10" fillId="6" borderId="352" xfId="0" applyFont="1" applyFill="1" applyBorder="1" applyAlignment="1" applyProtection="1">
      <alignment horizontal="center" vertical="center"/>
      <protection hidden="1"/>
    </xf>
    <xf numFmtId="0" fontId="10" fillId="0" borderId="218" xfId="0" applyFont="1" applyBorder="1" applyAlignment="1" applyProtection="1">
      <alignment horizontal="center" vertical="center"/>
      <protection hidden="1"/>
    </xf>
    <xf numFmtId="0" fontId="10" fillId="0" borderId="219" xfId="0" applyFont="1" applyBorder="1" applyAlignment="1" applyProtection="1">
      <alignment horizontal="center" vertical="center"/>
      <protection hidden="1"/>
    </xf>
    <xf numFmtId="0" fontId="0" fillId="44" borderId="2" xfId="0" applyFill="1" applyBorder="1" applyProtection="1">
      <protection hidden="1"/>
    </xf>
    <xf numFmtId="0" fontId="4" fillId="44" borderId="2" xfId="0" applyFont="1" applyFill="1" applyBorder="1" applyAlignment="1" applyProtection="1">
      <alignment horizontal="center"/>
      <protection hidden="1"/>
    </xf>
    <xf numFmtId="0" fontId="0" fillId="44" borderId="2" xfId="0" applyFill="1" applyBorder="1" applyAlignment="1" applyProtection="1">
      <alignment horizontal="center"/>
      <protection hidden="1"/>
    </xf>
    <xf numFmtId="0" fontId="38" fillId="42" borderId="61" xfId="0" applyFont="1" applyFill="1" applyBorder="1" applyAlignment="1" applyProtection="1">
      <alignment horizontal="right"/>
      <protection hidden="1"/>
    </xf>
    <xf numFmtId="0" fontId="38" fillId="22" borderId="62" xfId="0" applyFont="1" applyFill="1" applyBorder="1" applyAlignment="1" applyProtection="1">
      <alignment horizontal="right"/>
      <protection hidden="1"/>
    </xf>
    <xf numFmtId="0" fontId="38" fillId="20" borderId="62" xfId="0" applyFont="1" applyFill="1" applyBorder="1" applyAlignment="1" applyProtection="1">
      <alignment horizontal="right"/>
      <protection hidden="1"/>
    </xf>
    <xf numFmtId="0" fontId="38" fillId="18" borderId="63" xfId="0" applyFont="1" applyFill="1" applyBorder="1" applyAlignment="1" applyProtection="1">
      <alignment horizontal="right"/>
      <protection hidden="1"/>
    </xf>
    <xf numFmtId="0" fontId="0" fillId="3" borderId="353" xfId="0" applyFill="1" applyBorder="1" applyAlignment="1" applyProtection="1">
      <alignment horizontal="right"/>
      <protection locked="0" hidden="1"/>
    </xf>
    <xf numFmtId="0" fontId="63" fillId="0" borderId="0" xfId="1"/>
    <xf numFmtId="0" fontId="71" fillId="0" borderId="0" xfId="0" applyFont="1"/>
    <xf numFmtId="0" fontId="0" fillId="0" borderId="362" xfId="0" applyBorder="1" applyAlignment="1" applyProtection="1">
      <alignment horizontal="center"/>
      <protection hidden="1"/>
    </xf>
    <xf numFmtId="0" fontId="0" fillId="0" borderId="363" xfId="0" applyBorder="1" applyAlignment="1" applyProtection="1">
      <alignment horizontal="center"/>
      <protection hidden="1"/>
    </xf>
    <xf numFmtId="0" fontId="72" fillId="0" borderId="0" xfId="0" applyFont="1"/>
    <xf numFmtId="0" fontId="73" fillId="0" borderId="0" xfId="0" applyFont="1" applyAlignment="1">
      <alignment vertical="center"/>
    </xf>
    <xf numFmtId="1" fontId="7" fillId="2" borderId="69" xfId="0" applyNumberFormat="1" applyFont="1" applyFill="1" applyBorder="1" applyProtection="1">
      <protection hidden="1"/>
    </xf>
    <xf numFmtId="3" fontId="58" fillId="0" borderId="0" xfId="0" applyNumberFormat="1" applyFont="1" applyAlignment="1" applyProtection="1">
      <alignment horizontal="center" vertical="center"/>
      <protection hidden="1"/>
    </xf>
    <xf numFmtId="0" fontId="0" fillId="17" borderId="3" xfId="0" applyFill="1" applyBorder="1" applyAlignment="1" applyProtection="1">
      <alignment horizontal="right"/>
      <protection hidden="1"/>
    </xf>
    <xf numFmtId="0" fontId="0" fillId="17" borderId="4" xfId="0" applyFill="1" applyBorder="1" applyAlignment="1" applyProtection="1">
      <alignment horizontal="right"/>
      <protection hidden="1"/>
    </xf>
    <xf numFmtId="0" fontId="0" fillId="17" borderId="166" xfId="0" applyFill="1" applyBorder="1" applyAlignment="1" applyProtection="1">
      <alignment horizontal="right"/>
      <protection hidden="1"/>
    </xf>
    <xf numFmtId="0" fontId="0" fillId="44" borderId="167" xfId="0" applyFill="1" applyBorder="1" applyAlignment="1" applyProtection="1">
      <alignment horizontal="center"/>
      <protection hidden="1"/>
    </xf>
    <xf numFmtId="0" fontId="0" fillId="44" borderId="168" xfId="0" applyFill="1" applyBorder="1" applyAlignment="1" applyProtection="1">
      <alignment horizontal="center"/>
      <protection hidden="1"/>
    </xf>
    <xf numFmtId="0" fontId="0" fillId="44" borderId="169" xfId="0" applyFill="1" applyBorder="1" applyAlignment="1" applyProtection="1">
      <alignment horizontal="center"/>
      <protection hidden="1"/>
    </xf>
    <xf numFmtId="0" fontId="0" fillId="17" borderId="3" xfId="0" quotePrefix="1" applyFill="1" applyBorder="1" applyAlignment="1" applyProtection="1">
      <alignment horizontal="right"/>
      <protection hidden="1"/>
    </xf>
    <xf numFmtId="0" fontId="0" fillId="17" borderId="109" xfId="0" quotePrefix="1" applyFill="1" applyBorder="1" applyAlignment="1" applyProtection="1">
      <alignment horizontal="left" vertical="center" wrapText="1"/>
      <protection hidden="1"/>
    </xf>
    <xf numFmtId="0" fontId="0" fillId="17" borderId="0" xfId="0" applyFill="1" applyAlignment="1" applyProtection="1">
      <alignment horizontal="left" vertical="center" wrapText="1"/>
      <protection hidden="1"/>
    </xf>
    <xf numFmtId="0" fontId="0" fillId="17" borderId="109" xfId="0" applyFill="1" applyBorder="1" applyAlignment="1" applyProtection="1">
      <alignment horizontal="left" vertical="center" wrapText="1"/>
      <protection hidden="1"/>
    </xf>
    <xf numFmtId="0" fontId="10" fillId="44" borderId="122" xfId="0" applyFont="1" applyFill="1" applyBorder="1" applyAlignment="1" applyProtection="1">
      <alignment horizontal="center" vertical="center" wrapText="1"/>
      <protection hidden="1"/>
    </xf>
    <xf numFmtId="0" fontId="0" fillId="44" borderId="124" xfId="0" applyFill="1" applyBorder="1" applyAlignment="1" applyProtection="1">
      <alignment horizontal="center" vertical="center" wrapText="1"/>
      <protection hidden="1"/>
    </xf>
    <xf numFmtId="0" fontId="0" fillId="17" borderId="122" xfId="0" applyFill="1" applyBorder="1" applyAlignment="1" applyProtection="1">
      <alignment horizontal="center" vertical="center"/>
      <protection hidden="1"/>
    </xf>
    <xf numFmtId="0" fontId="0" fillId="17" borderId="124" xfId="0" applyFill="1" applyBorder="1" applyAlignment="1" applyProtection="1">
      <alignment horizontal="center" vertical="center"/>
      <protection hidden="1"/>
    </xf>
    <xf numFmtId="0" fontId="1" fillId="44" borderId="167" xfId="0" applyFont="1" applyFill="1" applyBorder="1" applyAlignment="1" applyProtection="1">
      <alignment horizontal="center"/>
      <protection hidden="1"/>
    </xf>
    <xf numFmtId="0" fontId="1" fillId="44" borderId="168" xfId="0" applyFont="1" applyFill="1" applyBorder="1" applyAlignment="1" applyProtection="1">
      <alignment horizontal="center"/>
      <protection hidden="1"/>
    </xf>
    <xf numFmtId="0" fontId="1" fillId="44" borderId="169" xfId="0" applyFont="1" applyFill="1" applyBorder="1" applyAlignment="1" applyProtection="1">
      <alignment horizontal="center"/>
      <protection hidden="1"/>
    </xf>
    <xf numFmtId="0" fontId="6" fillId="0" borderId="185" xfId="0" applyFont="1" applyBorder="1" applyAlignment="1">
      <alignment horizontal="center" vertical="center"/>
    </xf>
    <xf numFmtId="0" fontId="6" fillId="0" borderId="186" xfId="0" applyFont="1" applyBorder="1" applyAlignment="1">
      <alignment horizontal="center" vertical="center"/>
    </xf>
    <xf numFmtId="0" fontId="6" fillId="0" borderId="187" xfId="0" applyFont="1" applyBorder="1" applyAlignment="1">
      <alignment horizontal="center" vertical="center"/>
    </xf>
    <xf numFmtId="0" fontId="6" fillId="0" borderId="188" xfId="0" applyFont="1" applyBorder="1" applyAlignment="1">
      <alignment horizontal="center" vertical="center"/>
    </xf>
    <xf numFmtId="0" fontId="6" fillId="0" borderId="189" xfId="0" applyFont="1" applyBorder="1" applyAlignment="1">
      <alignment horizontal="center" vertical="center"/>
    </xf>
    <xf numFmtId="0" fontId="6" fillId="0" borderId="190" xfId="0" applyFont="1" applyBorder="1" applyAlignment="1">
      <alignment horizontal="center" vertical="center"/>
    </xf>
    <xf numFmtId="0" fontId="0" fillId="0" borderId="3" xfId="0" applyBorder="1" applyAlignment="1" applyProtection="1">
      <alignment horizontal="right"/>
      <protection hidden="1"/>
    </xf>
    <xf numFmtId="0" fontId="0" fillId="0" borderId="4" xfId="0" applyBorder="1" applyAlignment="1" applyProtection="1">
      <alignment horizontal="right"/>
      <protection hidden="1"/>
    </xf>
    <xf numFmtId="0" fontId="0" fillId="0" borderId="166" xfId="0" applyBorder="1" applyAlignment="1" applyProtection="1">
      <alignment horizontal="right"/>
      <protection hidden="1"/>
    </xf>
    <xf numFmtId="0" fontId="14" fillId="0" borderId="191" xfId="0" applyFont="1" applyBorder="1" applyAlignment="1">
      <alignment horizontal="center" vertical="center"/>
    </xf>
    <xf numFmtId="0" fontId="0" fillId="3" borderId="167" xfId="0" applyFill="1" applyBorder="1" applyAlignment="1" applyProtection="1">
      <alignment horizontal="center"/>
      <protection locked="0" hidden="1"/>
    </xf>
    <xf numFmtId="0" fontId="0" fillId="3" borderId="168" xfId="0" applyFill="1" applyBorder="1" applyAlignment="1" applyProtection="1">
      <alignment horizontal="center"/>
      <protection locked="0" hidden="1"/>
    </xf>
    <xf numFmtId="0" fontId="0" fillId="3" borderId="169" xfId="0" applyFill="1" applyBorder="1" applyAlignment="1" applyProtection="1">
      <alignment horizontal="center"/>
      <protection locked="0" hidden="1"/>
    </xf>
    <xf numFmtId="0" fontId="1" fillId="0" borderId="4" xfId="0" applyFont="1" applyBorder="1" applyAlignment="1" applyProtection="1">
      <alignment horizontal="right"/>
      <protection hidden="1"/>
    </xf>
    <xf numFmtId="0" fontId="1" fillId="0" borderId="184" xfId="0" applyFont="1" applyBorder="1" applyAlignment="1" applyProtection="1">
      <alignment horizontal="right"/>
      <protection hidden="1"/>
    </xf>
    <xf numFmtId="0" fontId="43" fillId="2" borderId="9" xfId="0" applyFont="1" applyFill="1" applyBorder="1" applyAlignment="1" applyProtection="1">
      <alignment horizontal="center"/>
      <protection hidden="1"/>
    </xf>
    <xf numFmtId="0" fontId="43" fillId="2" borderId="10" xfId="0" applyFont="1" applyFill="1" applyBorder="1" applyAlignment="1" applyProtection="1">
      <alignment horizontal="center"/>
      <protection hidden="1"/>
    </xf>
    <xf numFmtId="0" fontId="43" fillId="2" borderId="1" xfId="0" applyFont="1" applyFill="1" applyBorder="1" applyAlignment="1" applyProtection="1">
      <alignment horizontal="center"/>
      <protection hidden="1"/>
    </xf>
    <xf numFmtId="0" fontId="0" fillId="2" borderId="9" xfId="0" applyFill="1" applyBorder="1" applyAlignment="1" applyProtection="1">
      <alignment horizontal="center"/>
      <protection hidden="1"/>
    </xf>
    <xf numFmtId="0" fontId="0" fillId="2" borderId="10" xfId="0" applyFill="1" applyBorder="1" applyAlignment="1" applyProtection="1">
      <alignment horizontal="center"/>
      <protection hidden="1"/>
    </xf>
    <xf numFmtId="0" fontId="0" fillId="2" borderId="1" xfId="0" applyFill="1" applyBorder="1" applyAlignment="1" applyProtection="1">
      <alignment horizontal="center"/>
      <protection hidden="1"/>
    </xf>
    <xf numFmtId="0" fontId="1" fillId="3" borderId="167" xfId="0" applyFont="1" applyFill="1" applyBorder="1" applyAlignment="1" applyProtection="1">
      <alignment horizontal="center"/>
      <protection locked="0" hidden="1"/>
    </xf>
    <xf numFmtId="0" fontId="1" fillId="0" borderId="168" xfId="0" applyFont="1" applyBorder="1" applyAlignment="1" applyProtection="1">
      <alignment horizontal="center"/>
      <protection locked="0" hidden="1"/>
    </xf>
    <xf numFmtId="0" fontId="1" fillId="0" borderId="169" xfId="0" applyFont="1" applyBorder="1" applyAlignment="1" applyProtection="1">
      <alignment horizontal="center"/>
      <protection locked="0" hidden="1"/>
    </xf>
    <xf numFmtId="1" fontId="0" fillId="0" borderId="3" xfId="0" quotePrefix="1" applyNumberFormat="1" applyBorder="1" applyAlignment="1" applyProtection="1">
      <alignment horizontal="right"/>
      <protection hidden="1"/>
    </xf>
    <xf numFmtId="0" fontId="0" fillId="26" borderId="167" xfId="0" applyFill="1" applyBorder="1" applyAlignment="1" applyProtection="1">
      <alignment horizontal="center"/>
      <protection locked="0" hidden="1"/>
    </xf>
    <xf numFmtId="0" fontId="0" fillId="26" borderId="168" xfId="0" applyFill="1" applyBorder="1" applyAlignment="1" applyProtection="1">
      <alignment horizontal="center"/>
      <protection locked="0" hidden="1"/>
    </xf>
    <xf numFmtId="0" fontId="0" fillId="26" borderId="169" xfId="0" applyFill="1" applyBorder="1" applyAlignment="1" applyProtection="1">
      <alignment horizontal="center"/>
      <protection locked="0" hidden="1"/>
    </xf>
    <xf numFmtId="0" fontId="1" fillId="3" borderId="168" xfId="0" applyFont="1" applyFill="1" applyBorder="1" applyAlignment="1" applyProtection="1">
      <alignment horizontal="center"/>
      <protection locked="0" hidden="1"/>
    </xf>
    <xf numFmtId="0" fontId="1" fillId="3" borderId="169" xfId="0" applyFont="1" applyFill="1" applyBorder="1" applyAlignment="1" applyProtection="1">
      <alignment horizontal="center"/>
      <protection locked="0" hidden="1"/>
    </xf>
    <xf numFmtId="0" fontId="0" fillId="0" borderId="184" xfId="0" applyBorder="1" applyAlignment="1" applyProtection="1">
      <alignment horizontal="right"/>
      <protection hidden="1"/>
    </xf>
    <xf numFmtId="0" fontId="0" fillId="0" borderId="4" xfId="0" applyBorder="1" applyProtection="1">
      <protection hidden="1"/>
    </xf>
    <xf numFmtId="0" fontId="0" fillId="0" borderId="184" xfId="0" applyBorder="1" applyProtection="1">
      <protection hidden="1"/>
    </xf>
    <xf numFmtId="0" fontId="40" fillId="0" borderId="192" xfId="0" applyFont="1" applyBorder="1" applyAlignment="1" applyProtection="1">
      <alignment horizontal="center"/>
      <protection hidden="1"/>
    </xf>
    <xf numFmtId="0" fontId="40" fillId="0" borderId="193" xfId="0" applyFont="1" applyBorder="1" applyAlignment="1" applyProtection="1">
      <alignment horizontal="center"/>
      <protection hidden="1"/>
    </xf>
    <xf numFmtId="0" fontId="40" fillId="0" borderId="194" xfId="0" applyFont="1" applyBorder="1" applyAlignment="1" applyProtection="1">
      <alignment horizontal="center"/>
      <protection hidden="1"/>
    </xf>
    <xf numFmtId="0" fontId="5" fillId="2" borderId="22" xfId="0" applyFont="1" applyFill="1" applyBorder="1" applyAlignment="1" applyProtection="1">
      <alignment horizontal="center"/>
      <protection hidden="1"/>
    </xf>
    <xf numFmtId="0" fontId="5" fillId="2" borderId="130" xfId="0" applyFont="1" applyFill="1" applyBorder="1" applyAlignment="1" applyProtection="1">
      <alignment horizontal="center"/>
      <protection hidden="1"/>
    </xf>
    <xf numFmtId="0" fontId="5" fillId="2" borderId="44" xfId="0" applyFont="1" applyFill="1" applyBorder="1" applyAlignment="1" applyProtection="1">
      <alignment horizontal="center"/>
      <protection hidden="1"/>
    </xf>
    <xf numFmtId="0" fontId="4" fillId="0" borderId="179" xfId="0" quotePrefix="1" applyFont="1" applyBorder="1" applyAlignment="1" applyProtection="1">
      <alignment horizontal="right"/>
      <protection hidden="1"/>
    </xf>
    <xf numFmtId="0" fontId="4" fillId="0" borderId="180" xfId="0" applyFont="1" applyBorder="1" applyAlignment="1" applyProtection="1">
      <alignment horizontal="right"/>
      <protection hidden="1"/>
    </xf>
    <xf numFmtId="3" fontId="28" fillId="9" borderId="67" xfId="0" applyNumberFormat="1" applyFont="1" applyFill="1" applyBorder="1" applyAlignment="1" applyProtection="1">
      <alignment horizontal="right"/>
      <protection hidden="1"/>
    </xf>
    <xf numFmtId="3" fontId="28" fillId="9" borderId="74" xfId="0" applyNumberFormat="1" applyFont="1" applyFill="1" applyBorder="1" applyAlignment="1" applyProtection="1">
      <alignment horizontal="right"/>
      <protection hidden="1"/>
    </xf>
    <xf numFmtId="0" fontId="20" fillId="9" borderId="74" xfId="0" applyFont="1" applyFill="1" applyBorder="1" applyProtection="1">
      <protection hidden="1"/>
    </xf>
    <xf numFmtId="0" fontId="20" fillId="9" borderId="66" xfId="0" applyFont="1" applyFill="1" applyBorder="1" applyProtection="1">
      <protection hidden="1"/>
    </xf>
    <xf numFmtId="3" fontId="54" fillId="35" borderId="67" xfId="0" applyNumberFormat="1" applyFont="1" applyFill="1" applyBorder="1" applyAlignment="1">
      <alignment horizontal="right"/>
    </xf>
    <xf numFmtId="0" fontId="54" fillId="35" borderId="74" xfId="0" applyFont="1" applyFill="1" applyBorder="1" applyAlignment="1">
      <alignment horizontal="right"/>
    </xf>
    <xf numFmtId="0" fontId="20" fillId="11" borderId="74" xfId="0" applyFont="1" applyFill="1" applyBorder="1"/>
    <xf numFmtId="0" fontId="20" fillId="11" borderId="66" xfId="0" applyFont="1" applyFill="1" applyBorder="1"/>
    <xf numFmtId="3" fontId="54" fillId="36" borderId="67" xfId="0" applyNumberFormat="1" applyFont="1" applyFill="1" applyBorder="1" applyAlignment="1">
      <alignment horizontal="right"/>
    </xf>
    <xf numFmtId="0" fontId="54" fillId="36" borderId="74" xfId="0" applyFont="1" applyFill="1" applyBorder="1" applyAlignment="1">
      <alignment horizontal="right"/>
    </xf>
    <xf numFmtId="0" fontId="35" fillId="8" borderId="0" xfId="0" applyFont="1" applyFill="1" applyAlignment="1">
      <alignment horizontal="center" vertical="center"/>
    </xf>
    <xf numFmtId="0" fontId="1" fillId="8" borderId="0" xfId="0" applyFont="1" applyFill="1" applyAlignment="1">
      <alignment horizontal="center" vertical="center"/>
    </xf>
    <xf numFmtId="0" fontId="1" fillId="8" borderId="164" xfId="0" applyFont="1" applyFill="1" applyBorder="1" applyAlignment="1">
      <alignment horizontal="center" vertical="center"/>
    </xf>
    <xf numFmtId="0" fontId="1" fillId="8" borderId="191" xfId="0" applyFont="1" applyFill="1" applyBorder="1" applyAlignment="1">
      <alignment horizontal="center" vertical="center"/>
    </xf>
    <xf numFmtId="0" fontId="1" fillId="8" borderId="206" xfId="0" applyFont="1" applyFill="1" applyBorder="1" applyAlignment="1">
      <alignment horizontal="center" vertical="center"/>
    </xf>
    <xf numFmtId="0" fontId="16" fillId="8" borderId="207" xfId="0" applyFont="1" applyFill="1" applyBorder="1" applyAlignment="1" applyProtection="1">
      <alignment horizontal="center" vertical="center" wrapText="1"/>
      <protection hidden="1"/>
    </xf>
    <xf numFmtId="0" fontId="16" fillId="8" borderId="254" xfId="0" applyFont="1" applyFill="1" applyBorder="1" applyAlignment="1" applyProtection="1">
      <alignment horizontal="center" vertical="center" wrapText="1"/>
      <protection hidden="1"/>
    </xf>
    <xf numFmtId="0" fontId="16" fillId="8" borderId="208" xfId="0" applyFont="1" applyFill="1" applyBorder="1" applyAlignment="1" applyProtection="1">
      <alignment horizontal="center" vertical="center" wrapText="1"/>
      <protection hidden="1"/>
    </xf>
    <xf numFmtId="0" fontId="16" fillId="8" borderId="9" xfId="0" applyFont="1" applyFill="1" applyBorder="1" applyAlignment="1" applyProtection="1">
      <alignment horizontal="center" vertical="center" wrapText="1"/>
      <protection hidden="1"/>
    </xf>
    <xf numFmtId="0" fontId="16" fillId="8" borderId="170" xfId="0" applyFont="1" applyFill="1" applyBorder="1" applyAlignment="1" applyProtection="1">
      <alignment horizontal="center" vertical="center" wrapText="1"/>
      <protection hidden="1"/>
    </xf>
    <xf numFmtId="0" fontId="16" fillId="8" borderId="199" xfId="0" applyFont="1" applyFill="1" applyBorder="1" applyAlignment="1" applyProtection="1">
      <alignment horizontal="center" vertical="center" wrapText="1"/>
      <protection hidden="1"/>
    </xf>
    <xf numFmtId="0" fontId="16" fillId="38" borderId="345" xfId="0" applyFont="1" applyFill="1" applyBorder="1" applyAlignment="1" applyProtection="1">
      <alignment horizontal="center" vertical="center" wrapText="1"/>
      <protection hidden="1"/>
    </xf>
    <xf numFmtId="0" fontId="16" fillId="38" borderId="170" xfId="0" applyFont="1" applyFill="1" applyBorder="1" applyAlignment="1" applyProtection="1">
      <alignment horizontal="center" vertical="center" wrapText="1"/>
      <protection hidden="1"/>
    </xf>
    <xf numFmtId="0" fontId="16" fillId="38" borderId="176" xfId="0" applyFont="1" applyFill="1" applyBorder="1" applyAlignment="1" applyProtection="1">
      <alignment horizontal="center" vertical="center" wrapText="1"/>
      <protection hidden="1"/>
    </xf>
    <xf numFmtId="0" fontId="16" fillId="38" borderId="199" xfId="0" applyFont="1" applyFill="1" applyBorder="1" applyAlignment="1" applyProtection="1">
      <alignment horizontal="center" vertical="center" wrapText="1"/>
      <protection hidden="1"/>
    </xf>
    <xf numFmtId="0" fontId="16" fillId="8" borderId="178" xfId="0" applyFont="1" applyFill="1" applyBorder="1" applyAlignment="1" applyProtection="1">
      <alignment horizontal="center" vertical="center" wrapText="1"/>
      <protection hidden="1"/>
    </xf>
    <xf numFmtId="0" fontId="16" fillId="8" borderId="181" xfId="0" applyFont="1" applyFill="1" applyBorder="1" applyAlignment="1" applyProtection="1">
      <alignment horizontal="center" vertical="center" wrapText="1"/>
      <protection hidden="1"/>
    </xf>
    <xf numFmtId="0" fontId="16" fillId="8" borderId="182" xfId="0" applyFont="1" applyFill="1" applyBorder="1" applyAlignment="1" applyProtection="1">
      <alignment horizontal="center" vertical="center" wrapText="1"/>
      <protection hidden="1"/>
    </xf>
    <xf numFmtId="0" fontId="16" fillId="8" borderId="183" xfId="0" applyFont="1" applyFill="1" applyBorder="1" applyAlignment="1" applyProtection="1">
      <alignment horizontal="center" vertical="center" wrapText="1"/>
      <protection hidden="1"/>
    </xf>
    <xf numFmtId="0" fontId="4" fillId="26" borderId="125" xfId="0" applyFont="1" applyFill="1" applyBorder="1" applyAlignment="1" applyProtection="1">
      <alignment horizontal="left"/>
      <protection locked="0" hidden="1"/>
    </xf>
    <xf numFmtId="0" fontId="4" fillId="26" borderId="15" xfId="0" applyFont="1" applyFill="1" applyBorder="1" applyAlignment="1" applyProtection="1">
      <alignment horizontal="left"/>
      <protection locked="0" hidden="1"/>
    </xf>
    <xf numFmtId="0" fontId="4" fillId="26" borderId="74" xfId="0" applyFont="1" applyFill="1" applyBorder="1" applyAlignment="1" applyProtection="1">
      <alignment horizontal="left"/>
      <protection locked="0" hidden="1"/>
    </xf>
    <xf numFmtId="0" fontId="4" fillId="26" borderId="66" xfId="0" applyFont="1" applyFill="1" applyBorder="1" applyAlignment="1" applyProtection="1">
      <alignment horizontal="left"/>
      <protection locked="0" hidden="1"/>
    </xf>
    <xf numFmtId="0" fontId="2" fillId="0" borderId="179" xfId="0" quotePrefix="1" applyFont="1" applyBorder="1" applyAlignment="1" applyProtection="1">
      <alignment horizontal="right"/>
      <protection hidden="1"/>
    </xf>
    <xf numFmtId="0" fontId="2" fillId="0" borderId="180" xfId="0" applyFont="1" applyBorder="1" applyAlignment="1" applyProtection="1">
      <alignment horizontal="right"/>
      <protection hidden="1"/>
    </xf>
    <xf numFmtId="0" fontId="19" fillId="9" borderId="74" xfId="0" applyFont="1" applyFill="1" applyBorder="1" applyProtection="1">
      <protection hidden="1"/>
    </xf>
    <xf numFmtId="0" fontId="19" fillId="9" borderId="66" xfId="0" applyFont="1" applyFill="1" applyBorder="1" applyProtection="1">
      <protection hidden="1"/>
    </xf>
    <xf numFmtId="3" fontId="28" fillId="9" borderId="10" xfId="0" applyNumberFormat="1" applyFont="1" applyFill="1" applyBorder="1" applyAlignment="1" applyProtection="1">
      <alignment horizontal="right"/>
      <protection hidden="1"/>
    </xf>
    <xf numFmtId="3" fontId="55" fillId="9" borderId="11" xfId="0" applyNumberFormat="1" applyFont="1" applyFill="1" applyBorder="1" applyAlignment="1" applyProtection="1">
      <alignment horizontal="center"/>
      <protection hidden="1"/>
    </xf>
    <xf numFmtId="3" fontId="55" fillId="9" borderId="0" xfId="0" applyNumberFormat="1" applyFont="1" applyFill="1" applyAlignment="1" applyProtection="1">
      <alignment horizontal="center"/>
      <protection hidden="1"/>
    </xf>
    <xf numFmtId="3" fontId="55" fillId="9" borderId="12" xfId="0" applyNumberFormat="1" applyFont="1" applyFill="1" applyBorder="1" applyAlignment="1" applyProtection="1">
      <alignment horizontal="center"/>
      <protection hidden="1"/>
    </xf>
    <xf numFmtId="0" fontId="16" fillId="8" borderId="163" xfId="0" applyFont="1" applyFill="1" applyBorder="1" applyAlignment="1" applyProtection="1">
      <alignment horizontal="center" vertical="center" wrapText="1"/>
      <protection hidden="1"/>
    </xf>
    <xf numFmtId="0" fontId="16" fillId="8" borderId="322" xfId="0" applyFont="1" applyFill="1" applyBorder="1" applyAlignment="1" applyProtection="1">
      <alignment horizontal="center" vertical="center" wrapText="1"/>
      <protection hidden="1"/>
    </xf>
    <xf numFmtId="0" fontId="61" fillId="38" borderId="0" xfId="0" applyFont="1" applyFill="1" applyAlignment="1">
      <alignment horizontal="center" vertical="center"/>
    </xf>
    <xf numFmtId="0" fontId="57" fillId="38" borderId="0" xfId="0" applyFont="1" applyFill="1" applyAlignment="1">
      <alignment horizontal="center" vertical="center"/>
    </xf>
    <xf numFmtId="0" fontId="57" fillId="38" borderId="164" xfId="0" applyFont="1" applyFill="1" applyBorder="1" applyAlignment="1">
      <alignment horizontal="center" vertical="center"/>
    </xf>
    <xf numFmtId="0" fontId="56" fillId="38" borderId="95" xfId="0" applyFont="1" applyFill="1" applyBorder="1" applyAlignment="1" applyProtection="1">
      <alignment horizontal="center" vertical="center"/>
      <protection hidden="1"/>
    </xf>
    <xf numFmtId="0" fontId="57" fillId="38" borderId="96" xfId="0" applyFont="1" applyFill="1" applyBorder="1" applyAlignment="1" applyProtection="1">
      <alignment horizontal="center" vertical="center"/>
      <protection hidden="1"/>
    </xf>
    <xf numFmtId="0" fontId="57" fillId="38" borderId="181" xfId="0" applyFont="1" applyFill="1" applyBorder="1" applyAlignment="1" applyProtection="1">
      <alignment horizontal="center" vertical="center"/>
      <protection hidden="1"/>
    </xf>
    <xf numFmtId="0" fontId="58" fillId="38" borderId="178" xfId="0" applyFont="1" applyFill="1" applyBorder="1" applyAlignment="1" applyProtection="1">
      <alignment horizontal="center"/>
      <protection hidden="1"/>
    </xf>
    <xf numFmtId="0" fontId="58" fillId="38" borderId="96" xfId="0" applyFont="1" applyFill="1" applyBorder="1" applyAlignment="1" applyProtection="1">
      <alignment horizontal="center"/>
      <protection hidden="1"/>
    </xf>
    <xf numFmtId="0" fontId="59" fillId="38" borderId="96" xfId="0" applyFont="1" applyFill="1" applyBorder="1" applyAlignment="1" applyProtection="1">
      <alignment horizontal="center"/>
      <protection hidden="1"/>
    </xf>
    <xf numFmtId="0" fontId="59" fillId="38" borderId="181" xfId="0" applyFont="1" applyFill="1" applyBorder="1" applyAlignment="1" applyProtection="1">
      <alignment horizontal="center"/>
      <protection hidden="1"/>
    </xf>
    <xf numFmtId="0" fontId="69" fillId="38" borderId="178" xfId="0" applyFont="1" applyFill="1" applyBorder="1" applyAlignment="1" applyProtection="1">
      <alignment horizontal="center"/>
      <protection hidden="1"/>
    </xf>
    <xf numFmtId="0" fontId="69" fillId="38" borderId="96" xfId="0" applyFont="1" applyFill="1" applyBorder="1" applyAlignment="1" applyProtection="1">
      <alignment horizontal="center"/>
      <protection hidden="1"/>
    </xf>
    <xf numFmtId="0" fontId="70" fillId="38" borderId="96" xfId="0" applyFont="1" applyFill="1" applyBorder="1" applyAlignment="1" applyProtection="1">
      <alignment horizontal="center"/>
      <protection hidden="1"/>
    </xf>
    <xf numFmtId="0" fontId="70" fillId="38" borderId="181" xfId="0" applyFont="1" applyFill="1" applyBorder="1" applyAlignment="1" applyProtection="1">
      <alignment horizontal="center"/>
      <protection hidden="1"/>
    </xf>
    <xf numFmtId="0" fontId="4" fillId="3" borderId="167" xfId="0" applyFont="1" applyFill="1" applyBorder="1" applyAlignment="1" applyProtection="1">
      <alignment horizontal="center"/>
      <protection locked="0" hidden="1"/>
    </xf>
    <xf numFmtId="0" fontId="4" fillId="3" borderId="267" xfId="0" applyFont="1" applyFill="1" applyBorder="1" applyAlignment="1" applyProtection="1">
      <alignment horizontal="center" vertical="center"/>
      <protection locked="0" hidden="1"/>
    </xf>
    <xf numFmtId="0" fontId="4" fillId="3" borderId="268" xfId="0" applyFont="1" applyFill="1" applyBorder="1" applyAlignment="1" applyProtection="1">
      <alignment horizontal="center" vertical="center"/>
      <protection locked="0" hidden="1"/>
    </xf>
    <xf numFmtId="0" fontId="4" fillId="3" borderId="269" xfId="0" applyFont="1" applyFill="1" applyBorder="1" applyAlignment="1" applyProtection="1">
      <alignment horizontal="center" vertical="center"/>
      <protection locked="0" hidden="1"/>
    </xf>
    <xf numFmtId="0" fontId="4" fillId="3" borderId="270" xfId="0" applyFont="1" applyFill="1" applyBorder="1" applyAlignment="1" applyProtection="1">
      <alignment horizontal="center" vertical="center"/>
      <protection locked="0" hidden="1"/>
    </xf>
    <xf numFmtId="0" fontId="4" fillId="3" borderId="0" xfId="0" applyFont="1" applyFill="1" applyAlignment="1" applyProtection="1">
      <alignment horizontal="center" vertical="center"/>
      <protection locked="0" hidden="1"/>
    </xf>
    <xf numFmtId="0" fontId="4" fillId="3" borderId="271" xfId="0" applyFont="1" applyFill="1" applyBorder="1" applyAlignment="1" applyProtection="1">
      <alignment horizontal="center" vertical="center"/>
      <protection locked="0" hidden="1"/>
    </xf>
    <xf numFmtId="0" fontId="4" fillId="3" borderId="272" xfId="0" applyFont="1" applyFill="1" applyBorder="1" applyAlignment="1" applyProtection="1">
      <alignment horizontal="center" vertical="center"/>
      <protection locked="0" hidden="1"/>
    </xf>
    <xf numFmtId="0" fontId="4" fillId="3" borderId="273" xfId="0" applyFont="1" applyFill="1" applyBorder="1" applyAlignment="1" applyProtection="1">
      <alignment horizontal="center" vertical="center"/>
      <protection locked="0" hidden="1"/>
    </xf>
    <xf numFmtId="0" fontId="4" fillId="3" borderId="274" xfId="0" applyFont="1" applyFill="1" applyBorder="1" applyAlignment="1" applyProtection="1">
      <alignment horizontal="center" vertical="center"/>
      <protection locked="0" hidden="1"/>
    </xf>
    <xf numFmtId="0" fontId="57" fillId="38" borderId="275" xfId="0" applyFont="1" applyFill="1" applyBorder="1" applyAlignment="1" applyProtection="1">
      <alignment horizontal="center" vertical="center"/>
      <protection hidden="1"/>
    </xf>
    <xf numFmtId="0" fontId="57" fillId="38" borderId="108" xfId="0" applyFont="1" applyFill="1" applyBorder="1" applyAlignment="1" applyProtection="1">
      <alignment horizontal="center" vertical="center"/>
      <protection hidden="1"/>
    </xf>
    <xf numFmtId="0" fontId="57" fillId="38" borderId="276" xfId="0" applyFont="1" applyFill="1" applyBorder="1" applyAlignment="1" applyProtection="1">
      <alignment horizontal="center" vertical="center"/>
      <protection hidden="1"/>
    </xf>
    <xf numFmtId="0" fontId="57" fillId="38" borderId="127" xfId="0" applyFont="1" applyFill="1" applyBorder="1" applyAlignment="1" applyProtection="1">
      <alignment horizontal="center" vertical="center"/>
      <protection hidden="1"/>
    </xf>
    <xf numFmtId="38" fontId="57" fillId="0" borderId="72" xfId="0" applyNumberFormat="1" applyFont="1" applyBorder="1" applyAlignment="1" applyProtection="1">
      <alignment horizontal="center" vertical="center"/>
      <protection hidden="1"/>
    </xf>
    <xf numFmtId="38" fontId="57" fillId="0" borderId="278" xfId="0" applyNumberFormat="1" applyFont="1" applyBorder="1" applyAlignment="1" applyProtection="1">
      <alignment horizontal="center" vertical="center"/>
      <protection hidden="1"/>
    </xf>
    <xf numFmtId="38" fontId="60" fillId="37" borderId="144" xfId="0" applyNumberFormat="1" applyFont="1" applyFill="1" applyBorder="1" applyAlignment="1" applyProtection="1">
      <alignment horizontal="center" vertical="center"/>
      <protection hidden="1"/>
    </xf>
    <xf numFmtId="38" fontId="60" fillId="37" borderId="199" xfId="0" applyNumberFormat="1" applyFont="1" applyFill="1" applyBorder="1" applyAlignment="1" applyProtection="1">
      <alignment horizontal="center" vertical="center"/>
      <protection hidden="1"/>
    </xf>
    <xf numFmtId="0" fontId="57" fillId="38" borderId="175" xfId="0" applyFont="1" applyFill="1" applyBorder="1" applyAlignment="1" applyProtection="1">
      <alignment horizontal="center" vertical="center"/>
      <protection hidden="1"/>
    </xf>
    <xf numFmtId="0" fontId="57" fillId="38" borderId="35" xfId="0" applyFont="1" applyFill="1" applyBorder="1" applyAlignment="1" applyProtection="1">
      <alignment horizontal="center" vertical="center"/>
      <protection hidden="1"/>
    </xf>
    <xf numFmtId="0" fontId="57" fillId="38" borderId="130" xfId="0" applyFont="1" applyFill="1" applyBorder="1" applyAlignment="1" applyProtection="1">
      <alignment horizontal="center" vertical="center"/>
      <protection hidden="1"/>
    </xf>
    <xf numFmtId="38" fontId="57" fillId="39" borderId="72" xfId="0" applyNumberFormat="1" applyFont="1" applyFill="1" applyBorder="1" applyAlignment="1" applyProtection="1">
      <alignment horizontal="center" vertical="center"/>
      <protection hidden="1"/>
    </xf>
    <xf numFmtId="38" fontId="57" fillId="39" borderId="175" xfId="0" applyNumberFormat="1" applyFont="1" applyFill="1" applyBorder="1" applyAlignment="1" applyProtection="1">
      <alignment horizontal="center" vertical="center"/>
      <protection hidden="1"/>
    </xf>
    <xf numFmtId="0" fontId="57" fillId="39" borderId="175" xfId="0" applyFont="1" applyFill="1" applyBorder="1" applyAlignment="1" applyProtection="1">
      <alignment horizontal="center" vertical="center"/>
      <protection hidden="1"/>
    </xf>
    <xf numFmtId="38" fontId="57" fillId="39" borderId="25" xfId="0" applyNumberFormat="1" applyFont="1" applyFill="1" applyBorder="1" applyAlignment="1" applyProtection="1">
      <alignment horizontal="center" vertical="center"/>
      <protection hidden="1"/>
    </xf>
    <xf numFmtId="38" fontId="57" fillId="39" borderId="35" xfId="0" applyNumberFormat="1" applyFont="1" applyFill="1" applyBorder="1" applyAlignment="1" applyProtection="1">
      <alignment horizontal="center" vertical="center"/>
      <protection hidden="1"/>
    </xf>
    <xf numFmtId="0" fontId="57" fillId="39" borderId="35" xfId="0" applyFont="1" applyFill="1" applyBorder="1" applyAlignment="1" applyProtection="1">
      <alignment horizontal="center" vertical="center"/>
      <protection hidden="1"/>
    </xf>
    <xf numFmtId="38" fontId="57" fillId="39" borderId="22" xfId="0" applyNumberFormat="1" applyFont="1" applyFill="1" applyBorder="1" applyAlignment="1" applyProtection="1">
      <alignment horizontal="center" vertical="center"/>
      <protection hidden="1"/>
    </xf>
    <xf numFmtId="38" fontId="57" fillId="39" borderId="130" xfId="0" applyNumberFormat="1" applyFont="1" applyFill="1" applyBorder="1" applyAlignment="1" applyProtection="1">
      <alignment horizontal="center" vertical="center"/>
      <protection hidden="1"/>
    </xf>
    <xf numFmtId="0" fontId="57" fillId="39" borderId="130" xfId="0" applyFont="1" applyFill="1" applyBorder="1" applyAlignment="1" applyProtection="1">
      <alignment horizontal="center" vertical="center"/>
      <protection hidden="1"/>
    </xf>
    <xf numFmtId="0" fontId="57" fillId="39" borderId="313" xfId="0" applyFont="1" applyFill="1" applyBorder="1" applyAlignment="1" applyProtection="1">
      <alignment horizontal="center" vertical="center"/>
      <protection hidden="1"/>
    </xf>
    <xf numFmtId="38" fontId="57" fillId="0" borderId="22" xfId="0" applyNumberFormat="1" applyFont="1" applyBorder="1" applyAlignment="1" applyProtection="1">
      <alignment horizontal="center" vertical="center"/>
      <protection hidden="1"/>
    </xf>
    <xf numFmtId="38" fontId="57" fillId="0" borderId="313" xfId="0" applyNumberFormat="1" applyFont="1" applyBorder="1" applyAlignment="1" applyProtection="1">
      <alignment horizontal="center" vertical="center"/>
      <protection hidden="1"/>
    </xf>
    <xf numFmtId="38" fontId="57" fillId="0" borderId="44" xfId="0" applyNumberFormat="1" applyFont="1" applyBorder="1" applyAlignment="1" applyProtection="1">
      <alignment horizontal="center" vertical="center"/>
      <protection hidden="1"/>
    </xf>
    <xf numFmtId="0" fontId="57" fillId="38" borderId="74" xfId="0" applyFont="1" applyFill="1" applyBorder="1" applyAlignment="1" applyProtection="1">
      <alignment horizontal="center" vertical="center"/>
      <protection hidden="1"/>
    </xf>
    <xf numFmtId="0" fontId="57" fillId="38" borderId="266" xfId="0" applyFont="1" applyFill="1" applyBorder="1" applyAlignment="1" applyProtection="1">
      <alignment horizontal="center" vertical="center"/>
      <protection hidden="1"/>
    </xf>
    <xf numFmtId="166" fontId="5" fillId="37" borderId="196" xfId="0" applyNumberFormat="1" applyFont="1" applyFill="1" applyBorder="1" applyProtection="1">
      <protection hidden="1"/>
    </xf>
    <xf numFmtId="166" fontId="5" fillId="37" borderId="171" xfId="0" applyNumberFormat="1" applyFont="1" applyFill="1" applyBorder="1" applyProtection="1">
      <protection hidden="1"/>
    </xf>
    <xf numFmtId="0" fontId="57" fillId="45" borderId="11" xfId="0" applyFont="1" applyFill="1" applyBorder="1" applyAlignment="1">
      <alignment horizontal="center"/>
    </xf>
    <xf numFmtId="0" fontId="57" fillId="45" borderId="0" xfId="0" applyFont="1" applyFill="1" applyAlignment="1">
      <alignment horizontal="center"/>
    </xf>
    <xf numFmtId="0" fontId="57" fillId="45" borderId="12" xfId="0" applyFont="1" applyFill="1" applyBorder="1" applyAlignment="1">
      <alignment horizontal="center"/>
    </xf>
    <xf numFmtId="0" fontId="20" fillId="36" borderId="74" xfId="0" applyFont="1" applyFill="1" applyBorder="1"/>
    <xf numFmtId="0" fontId="20" fillId="36" borderId="66" xfId="0" applyFont="1" applyFill="1" applyBorder="1"/>
    <xf numFmtId="0" fontId="57" fillId="38" borderId="165" xfId="0" applyFont="1" applyFill="1" applyBorder="1" applyAlignment="1" applyProtection="1">
      <alignment horizontal="center" vertical="center"/>
      <protection hidden="1"/>
    </xf>
    <xf numFmtId="0" fontId="57" fillId="39" borderId="176" xfId="0" applyFont="1" applyFill="1" applyBorder="1" applyAlignment="1" applyProtection="1">
      <alignment horizontal="center" vertical="center"/>
      <protection hidden="1"/>
    </xf>
    <xf numFmtId="0" fontId="57" fillId="39" borderId="37" xfId="0" applyFont="1" applyFill="1" applyBorder="1" applyAlignment="1" applyProtection="1">
      <alignment horizontal="center" vertical="center"/>
      <protection hidden="1"/>
    </xf>
    <xf numFmtId="38" fontId="57" fillId="39" borderId="102" xfId="0" applyNumberFormat="1" applyFont="1" applyFill="1" applyBorder="1" applyAlignment="1" applyProtection="1">
      <alignment horizontal="center" vertical="center"/>
      <protection hidden="1"/>
    </xf>
    <xf numFmtId="38" fontId="57" fillId="39" borderId="165" xfId="0" applyNumberFormat="1" applyFont="1" applyFill="1" applyBorder="1" applyAlignment="1" applyProtection="1">
      <alignment horizontal="center" vertical="center"/>
      <protection hidden="1"/>
    </xf>
    <xf numFmtId="0" fontId="57" fillId="39" borderId="165" xfId="0" applyFont="1" applyFill="1" applyBorder="1" applyAlignment="1" applyProtection="1">
      <alignment horizontal="center" vertical="center"/>
      <protection hidden="1"/>
    </xf>
    <xf numFmtId="0" fontId="57" fillId="39" borderId="196" xfId="0" applyFont="1" applyFill="1" applyBorder="1" applyAlignment="1" applyProtection="1">
      <alignment horizontal="center" vertical="center"/>
      <protection hidden="1"/>
    </xf>
    <xf numFmtId="38" fontId="60" fillId="37" borderId="126" xfId="0" applyNumberFormat="1" applyFont="1" applyFill="1" applyBorder="1" applyAlignment="1" applyProtection="1">
      <alignment horizontal="center" vertical="center"/>
      <protection hidden="1"/>
    </xf>
    <xf numFmtId="38" fontId="60" fillId="37" borderId="117" xfId="0" applyNumberFormat="1" applyFont="1" applyFill="1" applyBorder="1" applyAlignment="1" applyProtection="1">
      <alignment horizontal="center" vertical="center"/>
      <protection hidden="1"/>
    </xf>
    <xf numFmtId="0" fontId="57" fillId="39" borderId="44" xfId="0" applyFont="1" applyFill="1" applyBorder="1" applyAlignment="1" applyProtection="1">
      <alignment horizontal="center" vertical="center"/>
      <protection hidden="1"/>
    </xf>
    <xf numFmtId="38" fontId="57" fillId="0" borderId="172" xfId="0" applyNumberFormat="1" applyFont="1" applyBorder="1" applyAlignment="1" applyProtection="1">
      <alignment horizontal="center" vertical="center"/>
      <protection hidden="1"/>
    </xf>
    <xf numFmtId="0" fontId="56" fillId="38" borderId="209" xfId="0" applyFont="1" applyFill="1" applyBorder="1" applyAlignment="1" applyProtection="1">
      <alignment horizontal="center" vertical="center"/>
      <protection hidden="1"/>
    </xf>
    <xf numFmtId="0" fontId="56" fillId="38" borderId="74" xfId="0" applyFont="1" applyFill="1" applyBorder="1" applyAlignment="1" applyProtection="1">
      <alignment horizontal="center" vertical="center"/>
      <protection hidden="1"/>
    </xf>
    <xf numFmtId="166" fontId="5" fillId="37" borderId="102" xfId="0" applyNumberFormat="1" applyFont="1" applyFill="1" applyBorder="1" applyProtection="1">
      <protection hidden="1"/>
    </xf>
    <xf numFmtId="0" fontId="56" fillId="38" borderId="86" xfId="0" applyFont="1" applyFill="1" applyBorder="1" applyAlignment="1" applyProtection="1">
      <alignment horizontal="center" vertical="center"/>
      <protection hidden="1"/>
    </xf>
    <xf numFmtId="0" fontId="57" fillId="38" borderId="10" xfId="0" applyFont="1" applyFill="1" applyBorder="1" applyAlignment="1" applyProtection="1">
      <alignment horizontal="center" vertical="center"/>
      <protection hidden="1"/>
    </xf>
    <xf numFmtId="0" fontId="57" fillId="38" borderId="1" xfId="0" applyFont="1" applyFill="1" applyBorder="1" applyAlignment="1" applyProtection="1">
      <alignment horizontal="center" vertical="center"/>
      <protection hidden="1"/>
    </xf>
    <xf numFmtId="0" fontId="58" fillId="0" borderId="76" xfId="0" applyFont="1" applyBorder="1" applyAlignment="1" applyProtection="1">
      <alignment horizontal="center" vertical="center" wrapText="1"/>
      <protection hidden="1"/>
    </xf>
    <xf numFmtId="0" fontId="59" fillId="0" borderId="16" xfId="0" applyFont="1" applyBorder="1" applyAlignment="1" applyProtection="1">
      <alignment horizontal="center" vertical="center" wrapText="1"/>
      <protection hidden="1"/>
    </xf>
    <xf numFmtId="0" fontId="59" fillId="0" borderId="203" xfId="0" applyFont="1" applyBorder="1" applyAlignment="1" applyProtection="1">
      <alignment horizontal="center" vertical="center" wrapText="1"/>
      <protection hidden="1"/>
    </xf>
    <xf numFmtId="0" fontId="59" fillId="0" borderId="202" xfId="0" applyFont="1" applyBorder="1" applyAlignment="1" applyProtection="1">
      <alignment horizontal="center" vertical="center" wrapText="1"/>
      <protection hidden="1"/>
    </xf>
    <xf numFmtId="0" fontId="58" fillId="38" borderId="16" xfId="0" applyFont="1" applyFill="1" applyBorder="1" applyAlignment="1" applyProtection="1">
      <alignment horizontal="center" vertical="center" wrapText="1"/>
      <protection hidden="1"/>
    </xf>
    <xf numFmtId="0" fontId="58" fillId="38" borderId="27" xfId="0" applyFont="1" applyFill="1" applyBorder="1" applyAlignment="1" applyProtection="1">
      <alignment horizontal="center" vertical="center" wrapText="1"/>
      <protection hidden="1"/>
    </xf>
    <xf numFmtId="0" fontId="58" fillId="38" borderId="202" xfId="0" applyFont="1" applyFill="1" applyBorder="1" applyAlignment="1" applyProtection="1">
      <alignment horizontal="center" vertical="center" wrapText="1"/>
      <protection hidden="1"/>
    </xf>
    <xf numFmtId="0" fontId="58" fillId="38" borderId="126" xfId="0" applyFont="1" applyFill="1" applyBorder="1" applyAlignment="1" applyProtection="1">
      <alignment horizontal="center" vertical="center" wrapText="1"/>
      <protection hidden="1"/>
    </xf>
    <xf numFmtId="166" fontId="5" fillId="37" borderId="104" xfId="0" applyNumberFormat="1" applyFont="1" applyFill="1" applyBorder="1" applyProtection="1">
      <protection hidden="1"/>
    </xf>
    <xf numFmtId="0" fontId="59" fillId="38" borderId="163" xfId="0" applyFont="1" applyFill="1" applyBorder="1" applyAlignment="1" applyProtection="1">
      <alignment horizontal="center"/>
      <protection hidden="1"/>
    </xf>
    <xf numFmtId="0" fontId="58" fillId="38" borderId="204" xfId="0" applyFont="1" applyFill="1" applyBorder="1" applyAlignment="1" applyProtection="1">
      <alignment horizontal="center" vertical="center" wrapText="1"/>
      <protection hidden="1"/>
    </xf>
    <xf numFmtId="0" fontId="58" fillId="38" borderId="205" xfId="0" applyFont="1" applyFill="1" applyBorder="1" applyAlignment="1" applyProtection="1">
      <alignment horizontal="center" vertical="center" wrapText="1"/>
      <protection hidden="1"/>
    </xf>
    <xf numFmtId="38" fontId="57" fillId="39" borderId="341" xfId="0" applyNumberFormat="1" applyFont="1" applyFill="1" applyBorder="1" applyAlignment="1" applyProtection="1">
      <alignment horizontal="center" vertical="center"/>
      <protection hidden="1"/>
    </xf>
    <xf numFmtId="0" fontId="57" fillId="39" borderId="310" xfId="0" applyFont="1" applyFill="1" applyBorder="1" applyAlignment="1" applyProtection="1">
      <alignment horizontal="center" vertical="center"/>
      <protection hidden="1"/>
    </xf>
    <xf numFmtId="0" fontId="57" fillId="39" borderId="316" xfId="0" applyFont="1" applyFill="1" applyBorder="1" applyAlignment="1" applyProtection="1">
      <alignment horizontal="center" vertical="center"/>
      <protection hidden="1"/>
    </xf>
    <xf numFmtId="38" fontId="57" fillId="17" borderId="341" xfId="0" applyNumberFormat="1" applyFont="1" applyFill="1" applyBorder="1" applyAlignment="1" applyProtection="1">
      <alignment horizontal="center" vertical="center"/>
      <protection hidden="1"/>
    </xf>
    <xf numFmtId="38" fontId="57" fillId="17" borderId="342" xfId="0" applyNumberFormat="1" applyFont="1" applyFill="1" applyBorder="1" applyAlignment="1" applyProtection="1">
      <alignment horizontal="center" vertical="center"/>
      <protection hidden="1"/>
    </xf>
    <xf numFmtId="38" fontId="57" fillId="39" borderId="67" xfId="0" applyNumberFormat="1" applyFont="1" applyFill="1" applyBorder="1" applyAlignment="1" applyProtection="1">
      <alignment horizontal="center" vertical="center"/>
      <protection hidden="1"/>
    </xf>
    <xf numFmtId="0" fontId="57" fillId="39" borderId="74" xfId="0" applyFont="1" applyFill="1" applyBorder="1" applyAlignment="1" applyProtection="1">
      <alignment horizontal="center" vertical="center"/>
      <protection hidden="1"/>
    </xf>
    <xf numFmtId="0" fontId="57" fillId="39" borderId="66" xfId="0" applyFont="1" applyFill="1" applyBorder="1" applyAlignment="1" applyProtection="1">
      <alignment horizontal="center" vertical="center"/>
      <protection hidden="1"/>
    </xf>
    <xf numFmtId="38" fontId="58" fillId="37" borderId="343" xfId="0" applyNumberFormat="1" applyFont="1" applyFill="1" applyBorder="1" applyAlignment="1" applyProtection="1">
      <alignment horizontal="center" vertical="center"/>
      <protection hidden="1"/>
    </xf>
    <xf numFmtId="38" fontId="58" fillId="37" borderId="339" xfId="0" applyNumberFormat="1" applyFont="1" applyFill="1" applyBorder="1" applyAlignment="1" applyProtection="1">
      <alignment horizontal="center" vertical="center"/>
      <protection hidden="1"/>
    </xf>
    <xf numFmtId="38" fontId="57" fillId="17" borderId="182" xfId="0" applyNumberFormat="1" applyFont="1" applyFill="1" applyBorder="1" applyAlignment="1" applyProtection="1">
      <alignment horizontal="center" vertical="center"/>
      <protection hidden="1"/>
    </xf>
    <xf numFmtId="38" fontId="57" fillId="17" borderId="115" xfId="0" applyNumberFormat="1" applyFont="1" applyFill="1" applyBorder="1" applyAlignment="1" applyProtection="1">
      <alignment horizontal="center" vertical="center"/>
      <protection hidden="1"/>
    </xf>
    <xf numFmtId="0" fontId="57" fillId="17" borderId="115" xfId="0" applyFont="1" applyFill="1" applyBorder="1" applyAlignment="1" applyProtection="1">
      <alignment horizontal="center" vertical="center"/>
      <protection hidden="1"/>
    </xf>
    <xf numFmtId="0" fontId="57" fillId="17" borderId="322" xfId="0" applyFont="1" applyFill="1" applyBorder="1" applyAlignment="1" applyProtection="1">
      <alignment horizontal="center" vertical="center"/>
      <protection hidden="1"/>
    </xf>
    <xf numFmtId="38" fontId="57" fillId="17" borderId="25" xfId="0" applyNumberFormat="1" applyFont="1" applyFill="1" applyBorder="1" applyAlignment="1" applyProtection="1">
      <alignment horizontal="center" vertical="center"/>
      <protection hidden="1"/>
    </xf>
    <xf numFmtId="38" fontId="57" fillId="17" borderId="35" xfId="0" applyNumberFormat="1" applyFont="1" applyFill="1" applyBorder="1" applyAlignment="1" applyProtection="1">
      <alignment horizontal="center" vertical="center"/>
      <protection hidden="1"/>
    </xf>
    <xf numFmtId="0" fontId="57" fillId="17" borderId="35" xfId="0" applyFont="1" applyFill="1" applyBorder="1" applyAlignment="1" applyProtection="1">
      <alignment horizontal="center" vertical="center"/>
      <protection hidden="1"/>
    </xf>
    <xf numFmtId="0" fontId="57" fillId="17" borderId="100" xfId="0" applyFont="1" applyFill="1" applyBorder="1" applyAlignment="1" applyProtection="1">
      <alignment horizontal="center" vertical="center"/>
      <protection hidden="1"/>
    </xf>
    <xf numFmtId="38" fontId="57" fillId="17" borderId="22" xfId="0" applyNumberFormat="1" applyFont="1" applyFill="1" applyBorder="1" applyAlignment="1" applyProtection="1">
      <alignment horizontal="center" vertical="center"/>
      <protection hidden="1"/>
    </xf>
    <xf numFmtId="38" fontId="57" fillId="17" borderId="313" xfId="0" applyNumberFormat="1" applyFont="1" applyFill="1" applyBorder="1" applyAlignment="1" applyProtection="1">
      <alignment horizontal="center" vertical="center"/>
      <protection hidden="1"/>
    </xf>
    <xf numFmtId="0" fontId="57" fillId="17" borderId="313" xfId="0" applyFont="1" applyFill="1" applyBorder="1" applyAlignment="1" applyProtection="1">
      <alignment horizontal="center" vertical="center"/>
      <protection hidden="1"/>
    </xf>
    <xf numFmtId="0" fontId="57" fillId="17" borderId="97" xfId="0" applyFont="1" applyFill="1" applyBorder="1" applyAlignment="1" applyProtection="1">
      <alignment horizontal="center" vertical="center"/>
      <protection hidden="1"/>
    </xf>
    <xf numFmtId="38" fontId="57" fillId="17" borderId="72" xfId="0" applyNumberFormat="1" applyFont="1" applyFill="1" applyBorder="1" applyAlignment="1" applyProtection="1">
      <alignment horizontal="center" vertical="center"/>
      <protection hidden="1"/>
    </xf>
    <xf numFmtId="38" fontId="57" fillId="17" borderId="175" xfId="0" applyNumberFormat="1" applyFont="1" applyFill="1" applyBorder="1" applyAlignment="1" applyProtection="1">
      <alignment horizontal="center" vertical="center"/>
      <protection hidden="1"/>
    </xf>
    <xf numFmtId="0" fontId="57" fillId="17" borderId="175" xfId="0" applyFont="1" applyFill="1" applyBorder="1" applyAlignment="1" applyProtection="1">
      <alignment horizontal="center" vertical="center"/>
      <protection hidden="1"/>
    </xf>
    <xf numFmtId="0" fontId="57" fillId="17" borderId="210" xfId="0" applyFont="1" applyFill="1" applyBorder="1" applyAlignment="1" applyProtection="1">
      <alignment horizontal="center" vertical="center"/>
      <protection hidden="1"/>
    </xf>
    <xf numFmtId="38" fontId="57" fillId="17" borderId="102" xfId="0" applyNumberFormat="1" applyFont="1" applyFill="1" applyBorder="1" applyAlignment="1" applyProtection="1">
      <alignment horizontal="center" vertical="center"/>
      <protection hidden="1"/>
    </xf>
    <xf numFmtId="38" fontId="57" fillId="17" borderId="165" xfId="0" applyNumberFormat="1" applyFont="1" applyFill="1" applyBorder="1" applyAlignment="1" applyProtection="1">
      <alignment horizontal="center" vertical="center"/>
      <protection hidden="1"/>
    </xf>
    <xf numFmtId="0" fontId="57" fillId="17" borderId="165" xfId="0" applyFont="1" applyFill="1" applyBorder="1" applyAlignment="1" applyProtection="1">
      <alignment horizontal="center" vertical="center"/>
      <protection hidden="1"/>
    </xf>
    <xf numFmtId="0" fontId="57" fillId="17" borderId="104" xfId="0" applyFont="1" applyFill="1" applyBorder="1" applyAlignment="1" applyProtection="1">
      <alignment horizontal="center" vertical="center"/>
      <protection hidden="1"/>
    </xf>
    <xf numFmtId="38" fontId="57" fillId="0" borderId="323" xfId="0" applyNumberFormat="1" applyFont="1" applyBorder="1" applyAlignment="1" applyProtection="1">
      <alignment vertical="center"/>
      <protection hidden="1"/>
    </xf>
    <xf numFmtId="0" fontId="57" fillId="0" borderId="324" xfId="0" applyFont="1" applyBorder="1" applyAlignment="1" applyProtection="1">
      <alignment vertical="center"/>
      <protection hidden="1"/>
    </xf>
    <xf numFmtId="38" fontId="60" fillId="37" borderId="325" xfId="0" applyNumberFormat="1" applyFont="1" applyFill="1" applyBorder="1" applyAlignment="1" applyProtection="1">
      <alignment vertical="center"/>
      <protection hidden="1"/>
    </xf>
    <xf numFmtId="38" fontId="60" fillId="37" borderId="346" xfId="0" applyNumberFormat="1" applyFont="1" applyFill="1" applyBorder="1" applyAlignment="1" applyProtection="1">
      <alignment vertical="center"/>
      <protection hidden="1"/>
    </xf>
    <xf numFmtId="38" fontId="57" fillId="0" borderId="327" xfId="0" applyNumberFormat="1" applyFont="1" applyBorder="1" applyAlignment="1" applyProtection="1">
      <alignment vertical="center"/>
      <protection hidden="1"/>
    </xf>
    <xf numFmtId="0" fontId="57" fillId="0" borderId="7" xfId="0" applyFont="1" applyBorder="1" applyAlignment="1" applyProtection="1">
      <alignment vertical="center"/>
      <protection hidden="1"/>
    </xf>
    <xf numFmtId="38" fontId="60" fillId="37" borderId="314" xfId="0" applyNumberFormat="1" applyFont="1" applyFill="1" applyBorder="1" applyAlignment="1" applyProtection="1">
      <alignment vertical="center"/>
      <protection hidden="1"/>
    </xf>
    <xf numFmtId="38" fontId="60" fillId="37" borderId="100" xfId="0" applyNumberFormat="1" applyFont="1" applyFill="1" applyBorder="1" applyAlignment="1" applyProtection="1">
      <alignment vertical="center"/>
      <protection hidden="1"/>
    </xf>
    <xf numFmtId="38" fontId="57" fillId="0" borderId="329" xfId="0" applyNumberFormat="1" applyFont="1" applyBorder="1" applyAlignment="1" applyProtection="1">
      <alignment vertical="center"/>
      <protection hidden="1"/>
    </xf>
    <xf numFmtId="0" fontId="57" fillId="0" borderId="330" xfId="0" applyFont="1" applyBorder="1" applyAlignment="1" applyProtection="1">
      <alignment vertical="center"/>
      <protection hidden="1"/>
    </xf>
    <xf numFmtId="38" fontId="60" fillId="37" borderId="331" xfId="0" applyNumberFormat="1" applyFont="1" applyFill="1" applyBorder="1" applyAlignment="1" applyProtection="1">
      <alignment vertical="center"/>
      <protection hidden="1"/>
    </xf>
    <xf numFmtId="38" fontId="60" fillId="37" borderId="347" xfId="0" applyNumberFormat="1" applyFont="1" applyFill="1" applyBorder="1" applyAlignment="1" applyProtection="1">
      <alignment vertical="center"/>
      <protection hidden="1"/>
    </xf>
    <xf numFmtId="0" fontId="57" fillId="39" borderId="210" xfId="0" applyFont="1" applyFill="1" applyBorder="1" applyAlignment="1" applyProtection="1">
      <alignment horizontal="center" vertical="center"/>
      <protection hidden="1"/>
    </xf>
    <xf numFmtId="38" fontId="57" fillId="0" borderId="125" xfId="0" applyNumberFormat="1" applyFont="1" applyBorder="1" applyAlignment="1" applyProtection="1">
      <alignment vertical="center"/>
      <protection hidden="1"/>
    </xf>
    <xf numFmtId="0" fontId="57" fillId="0" borderId="15" xfId="0" applyFont="1" applyBorder="1" applyAlignment="1" applyProtection="1">
      <alignment vertical="center"/>
      <protection hidden="1"/>
    </xf>
    <xf numFmtId="38" fontId="60" fillId="37" borderId="232" xfId="0" applyNumberFormat="1" applyFont="1" applyFill="1" applyBorder="1" applyAlignment="1" applyProtection="1">
      <alignment vertical="center"/>
      <protection hidden="1"/>
    </xf>
    <xf numFmtId="38" fontId="60" fillId="37" borderId="292" xfId="0" applyNumberFormat="1" applyFont="1" applyFill="1" applyBorder="1" applyAlignment="1" applyProtection="1">
      <alignment vertical="center"/>
      <protection hidden="1"/>
    </xf>
    <xf numFmtId="38" fontId="57" fillId="0" borderId="11" xfId="0" applyNumberFormat="1" applyFont="1" applyBorder="1" applyAlignment="1" applyProtection="1">
      <alignment vertical="center"/>
      <protection hidden="1"/>
    </xf>
    <xf numFmtId="0" fontId="57" fillId="0" borderId="0" xfId="0" applyFont="1" applyAlignment="1" applyProtection="1">
      <alignment vertical="center"/>
      <protection hidden="1"/>
    </xf>
    <xf numFmtId="38" fontId="60" fillId="37" borderId="321" xfId="0" applyNumberFormat="1" applyFont="1" applyFill="1" applyBorder="1" applyAlignment="1" applyProtection="1">
      <alignment vertical="center"/>
      <protection hidden="1"/>
    </xf>
    <xf numFmtId="38" fontId="60" fillId="37" borderId="164" xfId="0" applyNumberFormat="1" applyFont="1" applyFill="1" applyBorder="1" applyAlignment="1" applyProtection="1">
      <alignment vertical="center"/>
      <protection hidden="1"/>
    </xf>
    <xf numFmtId="38" fontId="57" fillId="45" borderId="72" xfId="0" applyNumberFormat="1" applyFont="1" applyFill="1" applyBorder="1" applyAlignment="1" applyProtection="1">
      <alignment horizontal="center" vertical="center"/>
      <protection hidden="1"/>
    </xf>
    <xf numFmtId="38" fontId="57" fillId="45" borderId="175" xfId="0" applyNumberFormat="1" applyFont="1" applyFill="1" applyBorder="1" applyAlignment="1" applyProtection="1">
      <alignment horizontal="center" vertical="center"/>
      <protection hidden="1"/>
    </xf>
    <xf numFmtId="0" fontId="57" fillId="45" borderId="175" xfId="0" applyFont="1" applyFill="1" applyBorder="1" applyAlignment="1" applyProtection="1">
      <alignment horizontal="center" vertical="center"/>
      <protection hidden="1"/>
    </xf>
    <xf numFmtId="38" fontId="57" fillId="45" borderId="25" xfId="0" applyNumberFormat="1" applyFont="1" applyFill="1" applyBorder="1" applyAlignment="1" applyProtection="1">
      <alignment horizontal="center" vertical="center"/>
      <protection hidden="1"/>
    </xf>
    <xf numFmtId="38" fontId="57" fillId="45" borderId="35" xfId="0" applyNumberFormat="1" applyFont="1" applyFill="1" applyBorder="1" applyAlignment="1" applyProtection="1">
      <alignment horizontal="center" vertical="center"/>
      <protection hidden="1"/>
    </xf>
    <xf numFmtId="0" fontId="57" fillId="45" borderId="35" xfId="0" applyFont="1" applyFill="1" applyBorder="1" applyAlignment="1" applyProtection="1">
      <alignment horizontal="center" vertical="center"/>
      <protection hidden="1"/>
    </xf>
    <xf numFmtId="38" fontId="57" fillId="45" borderId="22" xfId="0" applyNumberFormat="1" applyFont="1" applyFill="1" applyBorder="1" applyAlignment="1" applyProtection="1">
      <alignment horizontal="center" vertical="center"/>
      <protection hidden="1"/>
    </xf>
    <xf numFmtId="38" fontId="57" fillId="45" borderId="130" xfId="0" applyNumberFormat="1" applyFont="1" applyFill="1" applyBorder="1" applyAlignment="1" applyProtection="1">
      <alignment horizontal="center" vertical="center"/>
      <protection hidden="1"/>
    </xf>
    <xf numFmtId="0" fontId="57" fillId="45" borderId="130" xfId="0" applyFont="1" applyFill="1" applyBorder="1" applyAlignment="1" applyProtection="1">
      <alignment horizontal="center" vertical="center"/>
      <protection hidden="1"/>
    </xf>
    <xf numFmtId="0" fontId="57" fillId="45" borderId="313" xfId="0" applyFont="1" applyFill="1" applyBorder="1" applyAlignment="1" applyProtection="1">
      <alignment horizontal="center" vertical="center"/>
      <protection hidden="1"/>
    </xf>
    <xf numFmtId="38" fontId="57" fillId="0" borderId="72" xfId="0" applyNumberFormat="1" applyFont="1" applyBorder="1" applyAlignment="1" applyProtection="1">
      <alignment vertical="center"/>
      <protection hidden="1"/>
    </xf>
    <xf numFmtId="38" fontId="57" fillId="0" borderId="278" xfId="0" applyNumberFormat="1" applyFont="1" applyBorder="1" applyAlignment="1" applyProtection="1">
      <alignment vertical="center"/>
      <protection hidden="1"/>
    </xf>
    <xf numFmtId="0" fontId="57" fillId="0" borderId="175" xfId="0" applyFont="1" applyBorder="1" applyAlignment="1" applyProtection="1">
      <alignment vertical="center"/>
      <protection hidden="1"/>
    </xf>
    <xf numFmtId="38" fontId="60" fillId="40" borderId="144" xfId="0" applyNumberFormat="1" applyFont="1" applyFill="1" applyBorder="1" applyAlignment="1" applyProtection="1">
      <alignment vertical="center"/>
      <protection hidden="1"/>
    </xf>
    <xf numFmtId="38" fontId="60" fillId="40" borderId="199" xfId="0" applyNumberFormat="1" applyFont="1" applyFill="1" applyBorder="1" applyAlignment="1" applyProtection="1">
      <alignment vertical="center"/>
      <protection hidden="1"/>
    </xf>
    <xf numFmtId="38" fontId="57" fillId="0" borderId="67" xfId="0" applyNumberFormat="1" applyFont="1" applyBorder="1" applyAlignment="1" applyProtection="1">
      <alignment vertical="center"/>
      <protection hidden="1"/>
    </xf>
    <xf numFmtId="0" fontId="57" fillId="0" borderId="74" xfId="0" applyFont="1" applyBorder="1" applyAlignment="1" applyProtection="1">
      <alignment vertical="center"/>
      <protection hidden="1"/>
    </xf>
    <xf numFmtId="38" fontId="60" fillId="40" borderId="63" xfId="0" applyNumberFormat="1" applyFont="1" applyFill="1" applyBorder="1" applyAlignment="1" applyProtection="1">
      <alignment vertical="center"/>
      <protection hidden="1"/>
    </xf>
    <xf numFmtId="38" fontId="60" fillId="40" borderId="69" xfId="0" applyNumberFormat="1" applyFont="1" applyFill="1" applyBorder="1" applyAlignment="1" applyProtection="1">
      <alignment vertical="center"/>
      <protection hidden="1"/>
    </xf>
    <xf numFmtId="38" fontId="57" fillId="0" borderId="266" xfId="0" applyNumberFormat="1" applyFont="1" applyBorder="1" applyAlignment="1" applyProtection="1">
      <alignment vertical="center"/>
      <protection hidden="1"/>
    </xf>
    <xf numFmtId="0" fontId="57" fillId="0" borderId="333" xfId="0" applyFont="1" applyBorder="1" applyAlignment="1" applyProtection="1">
      <alignment vertical="center"/>
      <protection hidden="1"/>
    </xf>
    <xf numFmtId="0" fontId="57" fillId="17" borderId="183" xfId="0" applyFont="1" applyFill="1" applyBorder="1" applyAlignment="1" applyProtection="1">
      <alignment horizontal="center" vertical="center"/>
      <protection hidden="1"/>
    </xf>
    <xf numFmtId="0" fontId="57" fillId="17" borderId="37" xfId="0" applyFont="1" applyFill="1" applyBorder="1" applyAlignment="1" applyProtection="1">
      <alignment horizontal="center" vertical="center"/>
      <protection hidden="1"/>
    </xf>
    <xf numFmtId="38" fontId="57" fillId="17" borderId="130" xfId="0" applyNumberFormat="1" applyFont="1" applyFill="1" applyBorder="1" applyAlignment="1" applyProtection="1">
      <alignment horizontal="center" vertical="center"/>
      <protection hidden="1"/>
    </xf>
    <xf numFmtId="0" fontId="57" fillId="17" borderId="130" xfId="0" applyFont="1" applyFill="1" applyBorder="1" applyAlignment="1" applyProtection="1">
      <alignment horizontal="center" vertical="center"/>
      <protection hidden="1"/>
    </xf>
    <xf numFmtId="0" fontId="57" fillId="17" borderId="44" xfId="0" applyFont="1" applyFill="1" applyBorder="1" applyAlignment="1" applyProtection="1">
      <alignment horizontal="center" vertical="center"/>
      <protection hidden="1"/>
    </xf>
    <xf numFmtId="0" fontId="57" fillId="17" borderId="176" xfId="0" applyFont="1" applyFill="1" applyBorder="1" applyAlignment="1" applyProtection="1">
      <alignment horizontal="center" vertical="center"/>
      <protection hidden="1"/>
    </xf>
    <xf numFmtId="0" fontId="57" fillId="17" borderId="196" xfId="0" applyFont="1" applyFill="1" applyBorder="1" applyAlignment="1" applyProtection="1">
      <alignment horizontal="center" vertical="center"/>
      <protection hidden="1"/>
    </xf>
    <xf numFmtId="0" fontId="56" fillId="38" borderId="178" xfId="0" applyFont="1" applyFill="1" applyBorder="1" applyAlignment="1" applyProtection="1">
      <alignment horizontal="center" vertical="center"/>
      <protection hidden="1"/>
    </xf>
    <xf numFmtId="0" fontId="56" fillId="38" borderId="96" xfId="0" applyFont="1" applyFill="1" applyBorder="1" applyAlignment="1" applyProtection="1">
      <alignment horizontal="center" vertical="center"/>
      <protection hidden="1"/>
    </xf>
    <xf numFmtId="38" fontId="60" fillId="40" borderId="232" xfId="0" applyNumberFormat="1" applyFont="1" applyFill="1" applyBorder="1" applyAlignment="1" applyProtection="1">
      <alignment vertical="center"/>
      <protection hidden="1"/>
    </xf>
    <xf numFmtId="38" fontId="60" fillId="40" borderId="60" xfId="0" applyNumberFormat="1" applyFont="1" applyFill="1" applyBorder="1" applyAlignment="1" applyProtection="1">
      <alignment vertical="center"/>
      <protection hidden="1"/>
    </xf>
    <xf numFmtId="38" fontId="60" fillId="40" borderId="314" xfId="0" applyNumberFormat="1" applyFont="1" applyFill="1" applyBorder="1" applyAlignment="1" applyProtection="1">
      <alignment vertical="center"/>
      <protection hidden="1"/>
    </xf>
    <xf numFmtId="38" fontId="60" fillId="40" borderId="328" xfId="0" applyNumberFormat="1" applyFont="1" applyFill="1" applyBorder="1" applyAlignment="1" applyProtection="1">
      <alignment vertical="center"/>
      <protection hidden="1"/>
    </xf>
    <xf numFmtId="38" fontId="60" fillId="40" borderId="325" xfId="0" applyNumberFormat="1" applyFont="1" applyFill="1" applyBorder="1" applyAlignment="1" applyProtection="1">
      <alignment vertical="center"/>
      <protection hidden="1"/>
    </xf>
    <xf numFmtId="38" fontId="60" fillId="40" borderId="326" xfId="0" applyNumberFormat="1" applyFont="1" applyFill="1" applyBorder="1" applyAlignment="1" applyProtection="1">
      <alignment vertical="center"/>
      <protection hidden="1"/>
    </xf>
    <xf numFmtId="38" fontId="57" fillId="0" borderId="9" xfId="0" applyNumberFormat="1" applyFont="1" applyBorder="1" applyAlignment="1" applyProtection="1">
      <alignment vertical="center"/>
      <protection hidden="1"/>
    </xf>
    <xf numFmtId="0" fontId="57" fillId="0" borderId="10" xfId="0" applyFont="1" applyBorder="1" applyAlignment="1" applyProtection="1">
      <alignment vertical="center"/>
      <protection hidden="1"/>
    </xf>
    <xf numFmtId="38" fontId="60" fillId="40" borderId="321" xfId="0" applyNumberFormat="1" applyFont="1" applyFill="1" applyBorder="1" applyAlignment="1" applyProtection="1">
      <alignment vertical="center"/>
      <protection hidden="1"/>
    </xf>
    <xf numFmtId="38" fontId="60" fillId="40" borderId="12" xfId="0" applyNumberFormat="1" applyFont="1" applyFill="1" applyBorder="1" applyAlignment="1" applyProtection="1">
      <alignment vertical="center"/>
      <protection hidden="1"/>
    </xf>
    <xf numFmtId="0" fontId="4" fillId="23" borderId="179" xfId="0" quotePrefix="1" applyFont="1" applyFill="1" applyBorder="1" applyAlignment="1">
      <alignment horizontal="right"/>
    </xf>
    <xf numFmtId="0" fontId="4" fillId="23" borderId="180" xfId="0" applyFont="1" applyFill="1" applyBorder="1" applyAlignment="1">
      <alignment horizontal="right"/>
    </xf>
    <xf numFmtId="3" fontId="28" fillId="36" borderId="67" xfId="0" applyNumberFormat="1" applyFont="1" applyFill="1" applyBorder="1" applyAlignment="1" applyProtection="1">
      <alignment horizontal="right"/>
      <protection hidden="1"/>
    </xf>
    <xf numFmtId="3" fontId="28" fillId="36" borderId="74" xfId="0" applyNumberFormat="1" applyFont="1" applyFill="1" applyBorder="1" applyAlignment="1" applyProtection="1">
      <alignment horizontal="right"/>
      <protection hidden="1"/>
    </xf>
    <xf numFmtId="0" fontId="20" fillId="9" borderId="74" xfId="0" applyFont="1" applyFill="1" applyBorder="1"/>
    <xf numFmtId="0" fontId="20" fillId="9" borderId="66" xfId="0" applyFont="1" applyFill="1" applyBorder="1"/>
    <xf numFmtId="3" fontId="28" fillId="11" borderId="67" xfId="0" applyNumberFormat="1" applyFont="1" applyFill="1" applyBorder="1" applyAlignment="1" applyProtection="1">
      <alignment horizontal="right"/>
      <protection hidden="1"/>
    </xf>
    <xf numFmtId="0" fontId="28" fillId="11" borderId="74" xfId="0" applyFont="1" applyFill="1" applyBorder="1" applyAlignment="1">
      <alignment horizontal="right"/>
    </xf>
    <xf numFmtId="0" fontId="2" fillId="0" borderId="122" xfId="0" applyFont="1" applyBorder="1" applyAlignment="1" applyProtection="1">
      <alignment horizontal="center" vertical="center" wrapText="1"/>
      <protection locked="0" hidden="1"/>
    </xf>
    <xf numFmtId="0" fontId="0" fillId="0" borderId="124" xfId="0" applyBorder="1" applyAlignment="1" applyProtection="1">
      <alignment horizontal="center" vertical="center" wrapText="1"/>
      <protection locked="0" hidden="1"/>
    </xf>
    <xf numFmtId="0" fontId="16" fillId="38" borderId="178" xfId="0" applyFont="1" applyFill="1" applyBorder="1" applyAlignment="1" applyProtection="1">
      <alignment horizontal="center" vertical="center"/>
      <protection hidden="1"/>
    </xf>
    <xf numFmtId="0" fontId="16" fillId="38" borderId="181" xfId="0" applyFont="1" applyFill="1" applyBorder="1" applyAlignment="1" applyProtection="1">
      <alignment horizontal="center" vertical="center"/>
      <protection hidden="1"/>
    </xf>
    <xf numFmtId="0" fontId="16" fillId="38" borderId="182" xfId="0" applyFont="1" applyFill="1" applyBorder="1" applyAlignment="1" applyProtection="1">
      <alignment horizontal="center" vertical="center"/>
      <protection hidden="1"/>
    </xf>
    <xf numFmtId="0" fontId="16" fillId="38" borderId="183" xfId="0" applyFont="1" applyFill="1" applyBorder="1" applyAlignment="1" applyProtection="1">
      <alignment horizontal="center" vertical="center"/>
      <protection hidden="1"/>
    </xf>
    <xf numFmtId="0" fontId="4" fillId="17" borderId="3" xfId="0" applyFont="1" applyFill="1" applyBorder="1" applyAlignment="1">
      <alignment horizontal="right"/>
    </xf>
    <xf numFmtId="0" fontId="4" fillId="17" borderId="4" xfId="0" applyFont="1" applyFill="1" applyBorder="1" applyAlignment="1">
      <alignment horizontal="right"/>
    </xf>
    <xf numFmtId="0" fontId="4" fillId="17" borderId="184" xfId="0" applyFont="1" applyFill="1" applyBorder="1" applyAlignment="1">
      <alignment horizontal="right"/>
    </xf>
    <xf numFmtId="0" fontId="35" fillId="38" borderId="0" xfId="0" applyFont="1" applyFill="1" applyAlignment="1">
      <alignment vertical="center"/>
    </xf>
    <xf numFmtId="0" fontId="1" fillId="38" borderId="0" xfId="0" applyFont="1" applyFill="1" applyAlignment="1">
      <alignment vertical="center"/>
    </xf>
    <xf numFmtId="0" fontId="1" fillId="38" borderId="164" xfId="0" applyFont="1" applyFill="1" applyBorder="1" applyAlignment="1">
      <alignment vertical="center"/>
    </xf>
    <xf numFmtId="0" fontId="1" fillId="38" borderId="191" xfId="0" applyFont="1" applyFill="1" applyBorder="1" applyAlignment="1">
      <alignment vertical="center"/>
    </xf>
    <xf numFmtId="0" fontId="1" fillId="38" borderId="206" xfId="0" applyFont="1" applyFill="1" applyBorder="1" applyAlignment="1">
      <alignment vertical="center"/>
    </xf>
    <xf numFmtId="0" fontId="16" fillId="38" borderId="345" xfId="0" applyFont="1" applyFill="1" applyBorder="1" applyAlignment="1" applyProtection="1">
      <alignment horizontal="center" vertical="center"/>
      <protection hidden="1"/>
    </xf>
    <xf numFmtId="0" fontId="16" fillId="38" borderId="254" xfId="0" applyFont="1" applyFill="1" applyBorder="1" applyAlignment="1" applyProtection="1">
      <alignment horizontal="center" vertical="center"/>
      <protection hidden="1"/>
    </xf>
    <xf numFmtId="0" fontId="16" fillId="38" borderId="1" xfId="0" applyFont="1" applyFill="1" applyBorder="1" applyAlignment="1" applyProtection="1">
      <alignment horizontal="center" vertical="center"/>
      <protection hidden="1"/>
    </xf>
    <xf numFmtId="0" fontId="16" fillId="38" borderId="9" xfId="0" applyFont="1" applyFill="1" applyBorder="1" applyAlignment="1" applyProtection="1">
      <alignment horizontal="center" vertical="center"/>
      <protection hidden="1"/>
    </xf>
    <xf numFmtId="0" fontId="16" fillId="38" borderId="163" xfId="0" applyFont="1" applyFill="1" applyBorder="1" applyAlignment="1" applyProtection="1">
      <alignment horizontal="center" vertical="center"/>
      <protection hidden="1"/>
    </xf>
    <xf numFmtId="0" fontId="16" fillId="38" borderId="322" xfId="0" applyFont="1" applyFill="1" applyBorder="1" applyAlignment="1" applyProtection="1">
      <alignment horizontal="center" vertical="center"/>
      <protection hidden="1"/>
    </xf>
    <xf numFmtId="0" fontId="0" fillId="0" borderId="3" xfId="0" applyBorder="1" applyAlignment="1">
      <alignment horizontal="right"/>
    </xf>
    <xf numFmtId="0" fontId="0" fillId="0" borderId="4" xfId="0" applyBorder="1" applyAlignment="1">
      <alignment horizontal="right"/>
    </xf>
    <xf numFmtId="0" fontId="0" fillId="0" borderId="166" xfId="0" applyBorder="1" applyAlignment="1">
      <alignment horizontal="right"/>
    </xf>
    <xf numFmtId="0" fontId="0" fillId="0" borderId="3" xfId="0" quotePrefix="1" applyBorder="1" applyAlignment="1">
      <alignment horizontal="right"/>
    </xf>
    <xf numFmtId="0" fontId="0" fillId="0" borderId="4" xfId="0" applyBorder="1"/>
    <xf numFmtId="0" fontId="0" fillId="0" borderId="184" xfId="0" applyBorder="1"/>
    <xf numFmtId="0" fontId="0" fillId="17" borderId="3" xfId="0" applyFill="1" applyBorder="1" applyAlignment="1">
      <alignment horizontal="right"/>
    </xf>
    <xf numFmtId="0" fontId="1" fillId="17" borderId="4" xfId="0" applyFont="1" applyFill="1" applyBorder="1" applyAlignment="1">
      <alignment horizontal="right"/>
    </xf>
    <xf numFmtId="0" fontId="1" fillId="17" borderId="184" xfId="0" applyFont="1" applyFill="1" applyBorder="1" applyAlignment="1">
      <alignment horizontal="right"/>
    </xf>
    <xf numFmtId="0" fontId="0" fillId="0" borderId="192" xfId="0" applyBorder="1" applyAlignment="1">
      <alignment horizontal="center"/>
    </xf>
    <xf numFmtId="0" fontId="0" fillId="0" borderId="193" xfId="0" applyBorder="1" applyAlignment="1">
      <alignment horizontal="center"/>
    </xf>
    <xf numFmtId="0" fontId="0" fillId="0" borderId="194" xfId="0" applyBorder="1" applyAlignment="1">
      <alignment horizontal="center"/>
    </xf>
    <xf numFmtId="0" fontId="56" fillId="38" borderId="178" xfId="0" applyFont="1" applyFill="1" applyBorder="1" applyAlignment="1" applyProtection="1">
      <alignment horizontal="center"/>
      <protection hidden="1"/>
    </xf>
    <xf numFmtId="0" fontId="56" fillId="38" borderId="96" xfId="0" applyFont="1" applyFill="1" applyBorder="1" applyAlignment="1" applyProtection="1">
      <alignment horizontal="center"/>
      <protection hidden="1"/>
    </xf>
    <xf numFmtId="0" fontId="57" fillId="38" borderId="96" xfId="0" applyFont="1" applyFill="1" applyBorder="1" applyAlignment="1" applyProtection="1">
      <alignment horizontal="center"/>
      <protection hidden="1"/>
    </xf>
    <xf numFmtId="0" fontId="57" fillId="38" borderId="181" xfId="0" applyFont="1" applyFill="1" applyBorder="1" applyAlignment="1" applyProtection="1">
      <alignment horizontal="center"/>
      <protection hidden="1"/>
    </xf>
    <xf numFmtId="166" fontId="5" fillId="2" borderId="102" xfId="0" applyNumberFormat="1" applyFont="1" applyFill="1" applyBorder="1" applyProtection="1">
      <protection hidden="1"/>
    </xf>
    <xf numFmtId="166" fontId="5" fillId="2" borderId="196" xfId="0" applyNumberFormat="1" applyFont="1" applyFill="1" applyBorder="1" applyProtection="1">
      <protection hidden="1"/>
    </xf>
    <xf numFmtId="38" fontId="60" fillId="40" borderId="126" xfId="0" applyNumberFormat="1" applyFont="1" applyFill="1" applyBorder="1" applyAlignment="1" applyProtection="1">
      <alignment vertical="center"/>
      <protection hidden="1"/>
    </xf>
    <xf numFmtId="38" fontId="60" fillId="40" borderId="117" xfId="0" applyNumberFormat="1" applyFont="1" applyFill="1" applyBorder="1" applyAlignment="1" applyProtection="1">
      <alignment vertical="center"/>
      <protection hidden="1"/>
    </xf>
    <xf numFmtId="166" fontId="5" fillId="2" borderId="171" xfId="0" applyNumberFormat="1" applyFont="1" applyFill="1" applyBorder="1" applyProtection="1">
      <protection hidden="1"/>
    </xf>
    <xf numFmtId="0" fontId="57" fillId="0" borderId="35" xfId="0" applyFont="1" applyBorder="1" applyAlignment="1" applyProtection="1">
      <alignment vertical="center"/>
      <protection hidden="1"/>
    </xf>
    <xf numFmtId="38" fontId="60" fillId="40" borderId="331" xfId="0" applyNumberFormat="1" applyFont="1" applyFill="1" applyBorder="1" applyAlignment="1" applyProtection="1">
      <alignment vertical="center"/>
      <protection hidden="1"/>
    </xf>
    <xf numFmtId="38" fontId="60" fillId="40" borderId="332" xfId="0" applyNumberFormat="1" applyFont="1" applyFill="1" applyBorder="1" applyAlignment="1" applyProtection="1">
      <alignment vertical="center"/>
      <protection hidden="1"/>
    </xf>
    <xf numFmtId="38" fontId="57" fillId="39" borderId="309" xfId="0" applyNumberFormat="1" applyFont="1" applyFill="1" applyBorder="1" applyAlignment="1" applyProtection="1">
      <alignment horizontal="center" vertical="center"/>
      <protection hidden="1"/>
    </xf>
    <xf numFmtId="0" fontId="16" fillId="38" borderId="207" xfId="0" applyFont="1" applyFill="1" applyBorder="1" applyAlignment="1" applyProtection="1">
      <alignment horizontal="center" vertical="center"/>
      <protection hidden="1"/>
    </xf>
    <xf numFmtId="0" fontId="16" fillId="38" borderId="208" xfId="0" applyFont="1" applyFill="1" applyBorder="1" applyAlignment="1" applyProtection="1">
      <alignment horizontal="center" vertical="center"/>
      <protection hidden="1"/>
    </xf>
    <xf numFmtId="166" fontId="5" fillId="2" borderId="211" xfId="0" applyNumberFormat="1" applyFont="1" applyFill="1" applyBorder="1" applyProtection="1">
      <protection hidden="1"/>
    </xf>
    <xf numFmtId="0" fontId="57" fillId="39" borderId="100" xfId="0" applyFont="1" applyFill="1" applyBorder="1" applyAlignment="1" applyProtection="1">
      <alignment horizontal="center" vertical="center"/>
      <protection hidden="1"/>
    </xf>
    <xf numFmtId="38" fontId="57" fillId="0" borderId="22" xfId="0" applyNumberFormat="1" applyFont="1" applyBorder="1" applyAlignment="1" applyProtection="1">
      <alignment vertical="center"/>
      <protection hidden="1"/>
    </xf>
    <xf numFmtId="0" fontId="57" fillId="0" borderId="172" xfId="0" applyFont="1" applyBorder="1" applyAlignment="1" applyProtection="1">
      <alignment vertical="center"/>
      <protection hidden="1"/>
    </xf>
    <xf numFmtId="38" fontId="60" fillId="40" borderId="77" xfId="0" applyNumberFormat="1" applyFont="1" applyFill="1" applyBorder="1" applyAlignment="1" applyProtection="1">
      <alignment vertical="center"/>
      <protection hidden="1"/>
    </xf>
    <xf numFmtId="38" fontId="60" fillId="40" borderId="97" xfId="0" applyNumberFormat="1" applyFont="1" applyFill="1" applyBorder="1" applyAlignment="1" applyProtection="1">
      <alignment vertical="center"/>
      <protection hidden="1"/>
    </xf>
    <xf numFmtId="38" fontId="57" fillId="0" borderId="37" xfId="0" applyNumberFormat="1" applyFont="1" applyBorder="1" applyAlignment="1" applyProtection="1">
      <alignment vertical="center"/>
      <protection hidden="1"/>
    </xf>
    <xf numFmtId="38" fontId="57" fillId="0" borderId="198" xfId="0" applyNumberFormat="1" applyFont="1" applyBorder="1" applyAlignment="1" applyProtection="1">
      <alignment vertical="center"/>
      <protection hidden="1"/>
    </xf>
    <xf numFmtId="38" fontId="60" fillId="40" borderId="80" xfId="0" applyNumberFormat="1" applyFont="1" applyFill="1" applyBorder="1" applyAlignment="1" applyProtection="1">
      <alignment vertical="center"/>
      <protection hidden="1"/>
    </xf>
    <xf numFmtId="38" fontId="60" fillId="40" borderId="37" xfId="0" applyNumberFormat="1" applyFont="1" applyFill="1" applyBorder="1" applyAlignment="1" applyProtection="1">
      <alignment vertical="center"/>
      <protection hidden="1"/>
    </xf>
    <xf numFmtId="38" fontId="57" fillId="0" borderId="199" xfId="0" applyNumberFormat="1" applyFont="1" applyBorder="1" applyAlignment="1" applyProtection="1">
      <alignment vertical="center"/>
      <protection hidden="1"/>
    </xf>
    <xf numFmtId="38" fontId="57" fillId="0" borderId="200" xfId="0" applyNumberFormat="1" applyFont="1" applyBorder="1" applyAlignment="1" applyProtection="1">
      <alignment vertical="center"/>
      <protection hidden="1"/>
    </xf>
    <xf numFmtId="38" fontId="60" fillId="40" borderId="236" xfId="0" applyNumberFormat="1" applyFont="1" applyFill="1" applyBorder="1" applyAlignment="1" applyProtection="1">
      <alignment vertical="center"/>
      <protection hidden="1"/>
    </xf>
    <xf numFmtId="38" fontId="60" fillId="40" borderId="176" xfId="0" applyNumberFormat="1" applyFont="1" applyFill="1" applyBorder="1" applyAlignment="1" applyProtection="1">
      <alignment vertical="center"/>
      <protection hidden="1"/>
    </xf>
    <xf numFmtId="38" fontId="60" fillId="40" borderId="118" xfId="0" applyNumberFormat="1" applyFont="1" applyFill="1" applyBorder="1" applyAlignment="1" applyProtection="1">
      <alignment vertical="center"/>
      <protection hidden="1"/>
    </xf>
    <xf numFmtId="38" fontId="60" fillId="40" borderId="183" xfId="0" applyNumberFormat="1" applyFont="1" applyFill="1" applyBorder="1" applyAlignment="1" applyProtection="1">
      <alignment vertical="center"/>
      <protection hidden="1"/>
    </xf>
    <xf numFmtId="38" fontId="57" fillId="0" borderId="197" xfId="0" applyNumberFormat="1" applyFont="1" applyBorder="1" applyAlignment="1" applyProtection="1">
      <alignment vertical="center"/>
      <protection hidden="1"/>
    </xf>
    <xf numFmtId="38" fontId="57" fillId="0" borderId="173" xfId="0" applyNumberFormat="1" applyFont="1" applyBorder="1" applyAlignment="1" applyProtection="1">
      <alignment vertical="center"/>
      <protection hidden="1"/>
    </xf>
    <xf numFmtId="38" fontId="57" fillId="0" borderId="195" xfId="0" applyNumberFormat="1" applyFont="1" applyBorder="1" applyAlignment="1" applyProtection="1">
      <alignment vertical="center"/>
      <protection hidden="1"/>
    </xf>
    <xf numFmtId="0" fontId="57" fillId="0" borderId="130" xfId="0" applyFont="1" applyBorder="1" applyAlignment="1" applyProtection="1">
      <alignment vertical="center"/>
      <protection hidden="1"/>
    </xf>
    <xf numFmtId="38" fontId="57" fillId="0" borderId="44" xfId="0" applyNumberFormat="1" applyFont="1" applyBorder="1" applyAlignment="1" applyProtection="1">
      <alignment vertical="center"/>
      <protection hidden="1"/>
    </xf>
    <xf numFmtId="38" fontId="57" fillId="0" borderId="334" xfId="0" applyNumberFormat="1" applyFont="1" applyBorder="1" applyAlignment="1" applyProtection="1">
      <alignment vertical="center"/>
      <protection hidden="1"/>
    </xf>
    <xf numFmtId="0" fontId="57" fillId="0" borderId="335" xfId="0" applyFont="1" applyBorder="1" applyAlignment="1" applyProtection="1">
      <alignment vertical="center"/>
      <protection hidden="1"/>
    </xf>
    <xf numFmtId="38" fontId="57" fillId="0" borderId="102" xfId="0" applyNumberFormat="1" applyFont="1" applyBorder="1" applyAlignment="1" applyProtection="1">
      <alignment vertical="center"/>
      <protection hidden="1"/>
    </xf>
    <xf numFmtId="0" fontId="57" fillId="0" borderId="212" xfId="0" applyFont="1" applyBorder="1" applyAlignment="1" applyProtection="1">
      <alignment vertical="center"/>
      <protection hidden="1"/>
    </xf>
    <xf numFmtId="38" fontId="60" fillId="40" borderId="196" xfId="0" applyNumberFormat="1" applyFont="1" applyFill="1" applyBorder="1" applyAlignment="1" applyProtection="1">
      <alignment vertical="center"/>
      <protection hidden="1"/>
    </xf>
    <xf numFmtId="38" fontId="60" fillId="40" borderId="211" xfId="0" applyNumberFormat="1" applyFont="1" applyFill="1" applyBorder="1" applyAlignment="1" applyProtection="1">
      <alignment vertical="center"/>
      <protection hidden="1"/>
    </xf>
    <xf numFmtId="38" fontId="60" fillId="40" borderId="44" xfId="0" applyNumberFormat="1" applyFont="1" applyFill="1" applyBorder="1" applyAlignment="1" applyProtection="1">
      <alignment vertical="center"/>
      <protection hidden="1"/>
    </xf>
    <xf numFmtId="38" fontId="57" fillId="0" borderId="25" xfId="0" applyNumberFormat="1" applyFont="1" applyBorder="1" applyAlignment="1" applyProtection="1">
      <alignment vertical="center"/>
      <protection hidden="1"/>
    </xf>
    <xf numFmtId="38" fontId="60" fillId="40" borderId="29" xfId="0" applyNumberFormat="1" applyFont="1" applyFill="1" applyBorder="1" applyAlignment="1" applyProtection="1">
      <alignment vertical="center"/>
      <protection hidden="1"/>
    </xf>
    <xf numFmtId="38" fontId="60" fillId="40" borderId="197" xfId="0" applyNumberFormat="1" applyFont="1" applyFill="1" applyBorder="1" applyAlignment="1" applyProtection="1">
      <alignment vertical="center"/>
      <protection hidden="1"/>
    </xf>
    <xf numFmtId="38" fontId="60" fillId="40" borderId="298" xfId="0" applyNumberFormat="1" applyFont="1" applyFill="1" applyBorder="1" applyAlignment="1" applyProtection="1">
      <alignment vertical="center"/>
      <protection hidden="1"/>
    </xf>
    <xf numFmtId="38" fontId="60" fillId="40" borderId="299" xfId="0" applyNumberFormat="1" applyFont="1" applyFill="1" applyBorder="1" applyAlignment="1" applyProtection="1">
      <alignment vertical="center"/>
      <protection hidden="1"/>
    </xf>
    <xf numFmtId="38" fontId="60" fillId="40" borderId="101" xfId="0" applyNumberFormat="1" applyFont="1" applyFill="1" applyBorder="1" applyAlignment="1" applyProtection="1">
      <alignment vertical="center"/>
      <protection hidden="1"/>
    </xf>
    <xf numFmtId="38" fontId="60" fillId="40" borderId="171" xfId="0" applyNumberFormat="1" applyFont="1" applyFill="1" applyBorder="1" applyAlignment="1" applyProtection="1">
      <alignment vertical="center"/>
      <protection hidden="1"/>
    </xf>
    <xf numFmtId="0" fontId="57" fillId="0" borderId="165" xfId="0" applyFont="1" applyBorder="1" applyAlignment="1" applyProtection="1">
      <alignment vertical="center"/>
      <protection hidden="1"/>
    </xf>
    <xf numFmtId="38" fontId="57" fillId="0" borderId="171" xfId="0" applyNumberFormat="1" applyFont="1" applyBorder="1" applyAlignment="1" applyProtection="1">
      <alignment vertical="center"/>
      <protection hidden="1"/>
    </xf>
    <xf numFmtId="38" fontId="57" fillId="0" borderId="201" xfId="0" applyNumberFormat="1" applyFont="1" applyBorder="1" applyAlignment="1" applyProtection="1">
      <alignment vertical="center"/>
      <protection hidden="1"/>
    </xf>
    <xf numFmtId="0" fontId="57" fillId="38" borderId="344" xfId="0" applyFont="1" applyFill="1" applyBorder="1" applyAlignment="1" applyProtection="1">
      <alignment horizontal="center" vertical="center"/>
      <protection hidden="1"/>
    </xf>
    <xf numFmtId="0" fontId="57" fillId="38" borderId="342" xfId="0" applyFont="1" applyFill="1" applyBorder="1" applyAlignment="1" applyProtection="1">
      <alignment horizontal="center" vertical="center"/>
      <protection hidden="1"/>
    </xf>
    <xf numFmtId="0" fontId="57" fillId="38" borderId="163" xfId="0" applyFont="1" applyFill="1" applyBorder="1" applyAlignment="1" applyProtection="1">
      <alignment horizontal="center" vertical="center"/>
      <protection hidden="1"/>
    </xf>
    <xf numFmtId="38" fontId="57" fillId="0" borderId="341" xfId="0" applyNumberFormat="1" applyFont="1" applyBorder="1" applyAlignment="1" applyProtection="1">
      <alignment vertical="center"/>
      <protection hidden="1"/>
    </xf>
    <xf numFmtId="38" fontId="57" fillId="0" borderId="342" xfId="0" applyNumberFormat="1" applyFont="1" applyBorder="1" applyAlignment="1" applyProtection="1">
      <alignment vertical="center"/>
      <protection hidden="1"/>
    </xf>
    <xf numFmtId="0" fontId="4" fillId="15" borderId="235" xfId="0" applyFont="1" applyFill="1" applyBorder="1" applyAlignment="1" applyProtection="1">
      <alignment horizontal="center" vertical="center" textRotation="180"/>
      <protection hidden="1"/>
    </xf>
    <xf numFmtId="0" fontId="4" fillId="15" borderId="203" xfId="0" applyFont="1" applyFill="1" applyBorder="1" applyAlignment="1" applyProtection="1">
      <alignment horizontal="center" vertical="center" textRotation="180"/>
      <protection hidden="1"/>
    </xf>
    <xf numFmtId="0" fontId="0" fillId="8" borderId="118" xfId="0" quotePrefix="1" applyFill="1" applyBorder="1" applyProtection="1">
      <protection hidden="1"/>
    </xf>
    <xf numFmtId="0" fontId="0" fillId="8" borderId="302" xfId="0" quotePrefix="1" applyFill="1" applyBorder="1" applyProtection="1">
      <protection hidden="1"/>
    </xf>
    <xf numFmtId="0" fontId="1" fillId="2" borderId="303" xfId="0" applyFont="1" applyFill="1" applyBorder="1" applyAlignment="1" applyProtection="1">
      <alignment vertical="center"/>
      <protection hidden="1"/>
    </xf>
    <xf numFmtId="0" fontId="1" fillId="2" borderId="306" xfId="0" applyFont="1" applyFill="1" applyBorder="1" applyAlignment="1" applyProtection="1">
      <alignment vertical="center"/>
      <protection hidden="1"/>
    </xf>
    <xf numFmtId="0" fontId="1" fillId="2" borderId="16" xfId="0" applyFont="1" applyFill="1" applyBorder="1" applyAlignment="1" applyProtection="1">
      <alignment vertical="center"/>
      <protection hidden="1"/>
    </xf>
    <xf numFmtId="0" fontId="1" fillId="2" borderId="202" xfId="0" applyFont="1" applyFill="1" applyBorder="1" applyAlignment="1" applyProtection="1">
      <alignment vertical="center"/>
      <protection hidden="1"/>
    </xf>
    <xf numFmtId="0" fontId="1" fillId="2" borderId="16" xfId="0" applyFont="1" applyFill="1" applyBorder="1" applyAlignment="1" applyProtection="1">
      <alignment horizontal="center" vertical="center"/>
      <protection hidden="1"/>
    </xf>
    <xf numFmtId="0" fontId="1" fillId="2" borderId="202" xfId="0" applyFont="1" applyFill="1" applyBorder="1" applyAlignment="1" applyProtection="1">
      <alignment horizontal="center" vertical="center"/>
      <protection hidden="1"/>
    </xf>
    <xf numFmtId="1" fontId="1" fillId="2" borderId="16" xfId="0" applyNumberFormat="1" applyFont="1" applyFill="1" applyBorder="1" applyAlignment="1" applyProtection="1">
      <alignment vertical="center"/>
      <protection hidden="1"/>
    </xf>
    <xf numFmtId="1" fontId="1" fillId="2" borderId="202" xfId="0" applyNumberFormat="1" applyFont="1" applyFill="1" applyBorder="1" applyAlignment="1" applyProtection="1">
      <alignment vertical="center"/>
      <protection hidden="1"/>
    </xf>
    <xf numFmtId="0" fontId="0" fillId="8" borderId="77" xfId="0" applyFill="1" applyBorder="1" applyProtection="1">
      <protection hidden="1"/>
    </xf>
    <xf numFmtId="0" fontId="0" fillId="8" borderId="131" xfId="0" applyFill="1" applyBorder="1" applyProtection="1">
      <protection hidden="1"/>
    </xf>
    <xf numFmtId="0" fontId="68" fillId="8" borderId="11" xfId="0" applyFont="1" applyFill="1" applyBorder="1" applyAlignment="1" applyProtection="1">
      <alignment horizontal="center"/>
      <protection hidden="1"/>
    </xf>
    <xf numFmtId="0" fontId="41" fillId="0" borderId="0" xfId="0" applyFont="1" applyAlignment="1">
      <alignment horizontal="center"/>
    </xf>
    <xf numFmtId="0" fontId="0" fillId="8" borderId="355" xfId="0" quotePrefix="1" applyFill="1" applyBorder="1" applyProtection="1">
      <protection hidden="1"/>
    </xf>
    <xf numFmtId="0" fontId="0" fillId="8" borderId="356" xfId="0" quotePrefix="1" applyFill="1" applyBorder="1" applyProtection="1">
      <protection hidden="1"/>
    </xf>
    <xf numFmtId="0" fontId="1" fillId="2" borderId="359" xfId="0" applyFont="1" applyFill="1" applyBorder="1" applyAlignment="1" applyProtection="1">
      <alignment vertical="center"/>
      <protection hidden="1"/>
    </xf>
    <xf numFmtId="0" fontId="0" fillId="8" borderId="331" xfId="0" applyFill="1" applyBorder="1" applyProtection="1">
      <protection hidden="1"/>
    </xf>
    <xf numFmtId="0" fontId="0" fillId="8" borderId="354" xfId="0" applyFill="1" applyBorder="1" applyProtection="1">
      <protection hidden="1"/>
    </xf>
    <xf numFmtId="0" fontId="1" fillId="2" borderId="304" xfId="0" applyFont="1" applyFill="1" applyBorder="1" applyAlignment="1" applyProtection="1">
      <alignment vertical="center"/>
      <protection hidden="1"/>
    </xf>
    <xf numFmtId="0" fontId="1" fillId="2" borderId="106" xfId="0" applyFont="1" applyFill="1" applyBorder="1" applyAlignment="1" applyProtection="1">
      <alignment vertical="center"/>
      <protection hidden="1"/>
    </xf>
    <xf numFmtId="0" fontId="1" fillId="2" borderId="106" xfId="0" applyFont="1" applyFill="1" applyBorder="1" applyAlignment="1" applyProtection="1">
      <alignment horizontal="center" vertical="center"/>
      <protection hidden="1"/>
    </xf>
    <xf numFmtId="1" fontId="1" fillId="2" borderId="106" xfId="0" applyNumberFormat="1" applyFont="1" applyFill="1" applyBorder="1" applyAlignment="1" applyProtection="1">
      <alignment vertical="center"/>
      <protection hidden="1"/>
    </xf>
    <xf numFmtId="0" fontId="0" fillId="8" borderId="314" xfId="0" quotePrefix="1" applyFill="1" applyBorder="1" applyProtection="1">
      <protection hidden="1"/>
    </xf>
    <xf numFmtId="0" fontId="0" fillId="8" borderId="315" xfId="0" applyFill="1" applyBorder="1" applyProtection="1">
      <protection hidden="1"/>
    </xf>
    <xf numFmtId="0" fontId="0" fillId="8" borderId="130" xfId="0" quotePrefix="1" applyFill="1" applyBorder="1" applyProtection="1">
      <protection hidden="1"/>
    </xf>
    <xf numFmtId="0" fontId="0" fillId="8" borderId="313" xfId="0" applyFill="1" applyBorder="1" applyProtection="1">
      <protection hidden="1"/>
    </xf>
    <xf numFmtId="0" fontId="7" fillId="44" borderId="9" xfId="0" quotePrefix="1" applyFont="1" applyFill="1" applyBorder="1" applyAlignment="1" applyProtection="1">
      <alignment horizontal="center" vertical="center"/>
      <protection locked="0" hidden="1"/>
    </xf>
    <xf numFmtId="0" fontId="7" fillId="44" borderId="10" xfId="0" applyFont="1" applyFill="1" applyBorder="1" applyAlignment="1" applyProtection="1">
      <alignment horizontal="center" vertical="center"/>
      <protection locked="0" hidden="1"/>
    </xf>
    <xf numFmtId="0" fontId="7" fillId="44" borderId="1" xfId="0" applyFont="1" applyFill="1" applyBorder="1" applyAlignment="1" applyProtection="1">
      <alignment horizontal="center" vertical="center"/>
      <protection locked="0" hidden="1"/>
    </xf>
    <xf numFmtId="0" fontId="7" fillId="44" borderId="125" xfId="0" applyFont="1" applyFill="1" applyBorder="1" applyAlignment="1" applyProtection="1">
      <alignment horizontal="center" vertical="center"/>
      <protection locked="0" hidden="1"/>
    </xf>
    <xf numFmtId="0" fontId="7" fillId="44" borderId="15" xfId="0" applyFont="1" applyFill="1" applyBorder="1" applyAlignment="1" applyProtection="1">
      <alignment horizontal="center" vertical="center"/>
      <protection locked="0" hidden="1"/>
    </xf>
    <xf numFmtId="0" fontId="7" fillId="44" borderId="12" xfId="0" applyFont="1" applyFill="1" applyBorder="1" applyAlignment="1" applyProtection="1">
      <alignment horizontal="center" vertical="center"/>
      <protection locked="0" hidden="1"/>
    </xf>
    <xf numFmtId="0" fontId="4" fillId="8" borderId="65" xfId="0" quotePrefix="1" applyFont="1" applyFill="1" applyBorder="1" applyAlignment="1" applyProtection="1">
      <alignment horizontal="center" vertical="center" wrapText="1"/>
      <protection hidden="1"/>
    </xf>
    <xf numFmtId="0" fontId="4" fillId="8" borderId="117" xfId="0" applyFont="1" applyFill="1" applyBorder="1" applyAlignment="1" applyProtection="1">
      <alignment horizontal="center" vertical="center" wrapText="1"/>
      <protection hidden="1"/>
    </xf>
    <xf numFmtId="0" fontId="30" fillId="11" borderId="76" xfId="0" applyFont="1" applyFill="1" applyBorder="1" applyAlignment="1" applyProtection="1">
      <alignment horizontal="center" vertical="center" textRotation="180"/>
      <protection hidden="1"/>
    </xf>
    <xf numFmtId="0" fontId="30" fillId="11" borderId="235" xfId="0" applyFont="1" applyFill="1" applyBorder="1" applyAlignment="1" applyProtection="1">
      <alignment horizontal="center" vertical="center" textRotation="180"/>
      <protection hidden="1"/>
    </xf>
    <xf numFmtId="0" fontId="30" fillId="11" borderId="203" xfId="0" applyFont="1" applyFill="1" applyBorder="1" applyAlignment="1" applyProtection="1">
      <alignment horizontal="center" vertical="center" textRotation="180"/>
      <protection hidden="1"/>
    </xf>
    <xf numFmtId="0" fontId="0" fillId="8" borderId="115" xfId="0" applyFill="1" applyBorder="1" applyProtection="1">
      <protection hidden="1"/>
    </xf>
    <xf numFmtId="0" fontId="0" fillId="2" borderId="305" xfId="0" applyFill="1" applyBorder="1" applyAlignment="1" applyProtection="1">
      <alignment vertical="center"/>
      <protection hidden="1"/>
    </xf>
    <xf numFmtId="0" fontId="0" fillId="2" borderId="359" xfId="0" applyFill="1" applyBorder="1" applyAlignment="1" applyProtection="1">
      <alignment vertical="center"/>
      <protection hidden="1"/>
    </xf>
    <xf numFmtId="0" fontId="0" fillId="2" borderId="16" xfId="0" applyFill="1" applyBorder="1" applyAlignment="1" applyProtection="1">
      <alignment vertical="center"/>
      <protection hidden="1"/>
    </xf>
    <xf numFmtId="0" fontId="0" fillId="2" borderId="18" xfId="0" applyFill="1" applyBorder="1" applyAlignment="1" applyProtection="1">
      <alignment vertical="center"/>
      <protection hidden="1"/>
    </xf>
    <xf numFmtId="0" fontId="0" fillId="2" borderId="202" xfId="0" applyFill="1" applyBorder="1" applyAlignment="1" applyProtection="1">
      <alignment vertical="center"/>
      <protection hidden="1"/>
    </xf>
    <xf numFmtId="0" fontId="0" fillId="2" borderId="16" xfId="0" applyFill="1" applyBorder="1" applyAlignment="1" applyProtection="1">
      <alignment horizontal="center" vertical="center"/>
      <protection hidden="1"/>
    </xf>
    <xf numFmtId="0" fontId="0" fillId="2" borderId="18" xfId="0" applyFill="1" applyBorder="1" applyAlignment="1" applyProtection="1">
      <alignment horizontal="center" vertical="center"/>
      <protection hidden="1"/>
    </xf>
    <xf numFmtId="0" fontId="0" fillId="2" borderId="202" xfId="0" applyFill="1" applyBorder="1" applyAlignment="1" applyProtection="1">
      <alignment horizontal="center" vertical="center"/>
      <protection hidden="1"/>
    </xf>
    <xf numFmtId="0" fontId="4" fillId="8" borderId="65" xfId="0" quotePrefix="1" applyFont="1" applyFill="1" applyBorder="1" applyAlignment="1" applyProtection="1">
      <alignment horizontal="center"/>
      <protection hidden="1"/>
    </xf>
    <xf numFmtId="0" fontId="4" fillId="8" borderId="65" xfId="0" applyFont="1" applyFill="1" applyBorder="1" applyAlignment="1" applyProtection="1">
      <alignment horizontal="center"/>
      <protection hidden="1"/>
    </xf>
    <xf numFmtId="0" fontId="4" fillId="8" borderId="317" xfId="0" applyFont="1" applyFill="1" applyBorder="1" applyAlignment="1" applyProtection="1">
      <alignment horizontal="center"/>
      <protection hidden="1"/>
    </xf>
    <xf numFmtId="0" fontId="4" fillId="8" borderId="318" xfId="0" applyFont="1" applyFill="1" applyBorder="1" applyAlignment="1" applyProtection="1">
      <alignment horizontal="center"/>
      <protection hidden="1"/>
    </xf>
    <xf numFmtId="0" fontId="4" fillId="8" borderId="319" xfId="0" applyFont="1" applyFill="1" applyBorder="1" applyAlignment="1" applyProtection="1">
      <alignment horizontal="center"/>
      <protection hidden="1"/>
    </xf>
    <xf numFmtId="0" fontId="1" fillId="2" borderId="18" xfId="0" applyFont="1" applyFill="1" applyBorder="1" applyAlignment="1" applyProtection="1">
      <alignment vertical="center"/>
      <protection hidden="1"/>
    </xf>
    <xf numFmtId="0" fontId="1" fillId="2" borderId="18" xfId="0" applyFont="1" applyFill="1" applyBorder="1" applyAlignment="1" applyProtection="1">
      <alignment horizontal="center" vertical="center"/>
      <protection hidden="1"/>
    </xf>
    <xf numFmtId="1" fontId="1" fillId="2" borderId="18" xfId="0" applyNumberFormat="1" applyFont="1" applyFill="1" applyBorder="1" applyAlignment="1" applyProtection="1">
      <alignment vertical="center"/>
      <protection hidden="1"/>
    </xf>
    <xf numFmtId="0" fontId="0" fillId="8" borderId="357" xfId="0" applyFill="1" applyBorder="1" applyProtection="1">
      <protection hidden="1"/>
    </xf>
    <xf numFmtId="0" fontId="0" fillId="8" borderId="358" xfId="0" applyFill="1" applyBorder="1" applyProtection="1">
      <protection hidden="1"/>
    </xf>
    <xf numFmtId="0" fontId="4" fillId="15" borderId="76" xfId="0" applyFont="1" applyFill="1" applyBorder="1" applyAlignment="1" applyProtection="1">
      <alignment horizontal="center" vertical="center" textRotation="180"/>
      <protection hidden="1"/>
    </xf>
    <xf numFmtId="0" fontId="1" fillId="2" borderId="305" xfId="0" applyFont="1" applyFill="1" applyBorder="1" applyAlignment="1" applyProtection="1">
      <alignment vertical="center"/>
      <protection hidden="1"/>
    </xf>
    <xf numFmtId="0" fontId="0" fillId="8" borderId="360" xfId="0" quotePrefix="1" applyFill="1" applyBorder="1" applyProtection="1">
      <protection hidden="1"/>
    </xf>
    <xf numFmtId="0" fontId="0" fillId="8" borderId="361" xfId="0" quotePrefix="1" applyFill="1" applyBorder="1" applyProtection="1">
      <protection hidden="1"/>
    </xf>
    <xf numFmtId="0" fontId="0" fillId="43" borderId="112" xfId="0" applyFill="1" applyBorder="1" applyProtection="1">
      <protection hidden="1"/>
    </xf>
    <xf numFmtId="0" fontId="0" fillId="43" borderId="321" xfId="0" applyFill="1" applyBorder="1" applyProtection="1">
      <protection hidden="1"/>
    </xf>
    <xf numFmtId="0" fontId="0" fillId="43" borderId="118" xfId="0" applyFill="1" applyBorder="1" applyProtection="1">
      <protection hidden="1"/>
    </xf>
    <xf numFmtId="0" fontId="4" fillId="8" borderId="1" xfId="0" quotePrefix="1" applyFont="1" applyFill="1" applyBorder="1" applyAlignment="1" applyProtection="1">
      <alignment horizontal="center" vertical="center" wrapText="1"/>
      <protection hidden="1"/>
    </xf>
    <xf numFmtId="0" fontId="4" fillId="8" borderId="12" xfId="0" applyFont="1" applyFill="1" applyBorder="1" applyAlignment="1" applyProtection="1">
      <alignment horizontal="center" vertical="center" wrapText="1"/>
      <protection hidden="1"/>
    </xf>
    <xf numFmtId="0" fontId="4" fillId="0" borderId="60" xfId="0" applyFont="1" applyBorder="1" applyAlignment="1" applyProtection="1">
      <alignment horizontal="center" vertical="center" wrapText="1"/>
      <protection hidden="1"/>
    </xf>
    <xf numFmtId="0" fontId="4" fillId="8" borderId="9" xfId="0" quotePrefix="1" applyFont="1" applyFill="1" applyBorder="1" applyAlignment="1" applyProtection="1">
      <alignment horizontal="center" vertical="center"/>
      <protection hidden="1"/>
    </xf>
    <xf numFmtId="0" fontId="0" fillId="0" borderId="10" xfId="0"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125" xfId="0" applyBorder="1" applyAlignment="1" applyProtection="1">
      <alignment horizontal="center" vertical="center"/>
      <protection hidden="1"/>
    </xf>
    <xf numFmtId="0" fontId="0" fillId="0" borderId="15" xfId="0" applyBorder="1" applyAlignment="1" applyProtection="1">
      <alignment horizontal="center" vertical="center"/>
      <protection hidden="1"/>
    </xf>
    <xf numFmtId="0" fontId="0" fillId="0" borderId="60" xfId="0" applyBorder="1" applyAlignment="1" applyProtection="1">
      <alignment horizontal="center" vertical="center"/>
      <protection hidden="1"/>
    </xf>
    <xf numFmtId="0" fontId="4" fillId="8" borderId="10" xfId="0" quotePrefix="1"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15" xfId="0" applyFont="1" applyBorder="1" applyAlignment="1" applyProtection="1">
      <alignment horizontal="center" vertical="center" wrapText="1"/>
      <protection hidden="1"/>
    </xf>
    <xf numFmtId="0" fontId="0" fillId="8" borderId="10" xfId="0" applyFill="1" applyBorder="1" applyAlignment="1" applyProtection="1">
      <alignment horizontal="center" vertical="center"/>
      <protection hidden="1"/>
    </xf>
    <xf numFmtId="0" fontId="0" fillId="8" borderId="1" xfId="0" applyFill="1" applyBorder="1" applyAlignment="1" applyProtection="1">
      <alignment horizontal="center" vertical="center"/>
      <protection hidden="1"/>
    </xf>
    <xf numFmtId="0" fontId="0" fillId="8" borderId="125" xfId="0" applyFill="1" applyBorder="1" applyAlignment="1" applyProtection="1">
      <alignment horizontal="center" vertical="center"/>
      <protection hidden="1"/>
    </xf>
    <xf numFmtId="0" fontId="0" fillId="8" borderId="15" xfId="0" applyFill="1" applyBorder="1" applyAlignment="1" applyProtection="1">
      <alignment horizontal="center" vertical="center"/>
      <protection hidden="1"/>
    </xf>
    <xf numFmtId="0" fontId="0" fillId="8" borderId="60" xfId="0" applyFill="1" applyBorder="1" applyAlignment="1" applyProtection="1">
      <alignment horizontal="center" vertical="center"/>
      <protection hidden="1"/>
    </xf>
    <xf numFmtId="0" fontId="0" fillId="2" borderId="105" xfId="0" applyFill="1" applyBorder="1" applyAlignment="1" applyProtection="1">
      <alignment vertical="center"/>
      <protection hidden="1"/>
    </xf>
    <xf numFmtId="0" fontId="0" fillId="0" borderId="106" xfId="0" applyBorder="1" applyAlignment="1" applyProtection="1">
      <alignment vertical="center"/>
      <protection hidden="1"/>
    </xf>
    <xf numFmtId="0" fontId="0" fillId="2" borderId="113" xfId="0" applyFill="1" applyBorder="1" applyAlignment="1" applyProtection="1">
      <alignment vertical="center"/>
      <protection hidden="1"/>
    </xf>
    <xf numFmtId="0" fontId="0" fillId="0" borderId="119" xfId="0" applyBorder="1" applyAlignment="1" applyProtection="1">
      <alignment vertical="center"/>
      <protection hidden="1"/>
    </xf>
    <xf numFmtId="165" fontId="15" fillId="8" borderId="67" xfId="0" applyNumberFormat="1" applyFont="1" applyFill="1" applyBorder="1" applyAlignment="1" applyProtection="1">
      <alignment horizontal="center"/>
      <protection hidden="1"/>
    </xf>
    <xf numFmtId="0" fontId="15" fillId="8" borderId="74" xfId="0" applyFont="1" applyFill="1" applyBorder="1" applyAlignment="1" applyProtection="1">
      <alignment horizontal="center"/>
      <protection hidden="1"/>
    </xf>
    <xf numFmtId="0" fontId="15" fillId="8" borderId="66" xfId="0" applyFont="1" applyFill="1" applyBorder="1" applyAlignment="1" applyProtection="1">
      <alignment horizontal="center"/>
      <protection hidden="1"/>
    </xf>
    <xf numFmtId="0" fontId="15" fillId="8" borderId="67" xfId="0" applyFont="1" applyFill="1" applyBorder="1" applyAlignment="1" applyProtection="1">
      <alignment horizontal="center"/>
      <protection hidden="1"/>
    </xf>
    <xf numFmtId="0" fontId="0" fillId="0" borderId="74" xfId="0" applyBorder="1" applyAlignment="1" applyProtection="1">
      <alignment horizontal="center"/>
      <protection hidden="1"/>
    </xf>
    <xf numFmtId="0" fontId="0" fillId="0" borderId="66" xfId="0" applyBorder="1" applyAlignment="1" applyProtection="1">
      <alignment horizontal="center"/>
      <protection hidden="1"/>
    </xf>
    <xf numFmtId="0" fontId="0" fillId="0" borderId="10" xfId="0" applyBorder="1" applyAlignment="1" applyProtection="1">
      <alignment vertical="center" wrapText="1"/>
      <protection hidden="1"/>
    </xf>
    <xf numFmtId="0" fontId="0" fillId="0" borderId="0" xfId="0" applyAlignment="1" applyProtection="1">
      <alignment vertical="center" wrapText="1"/>
      <protection hidden="1"/>
    </xf>
    <xf numFmtId="0" fontId="0" fillId="0" borderId="15" xfId="0" applyBorder="1" applyAlignment="1" applyProtection="1">
      <alignment vertical="center" wrapText="1"/>
      <protection hidden="1"/>
    </xf>
    <xf numFmtId="0" fontId="0" fillId="2" borderId="111" xfId="0" applyFill="1" applyBorder="1" applyAlignment="1" applyProtection="1">
      <alignment vertical="center"/>
      <protection hidden="1"/>
    </xf>
    <xf numFmtId="0" fontId="0" fillId="2" borderId="119" xfId="0" applyFill="1" applyBorder="1" applyAlignment="1" applyProtection="1">
      <alignment vertical="center"/>
      <protection hidden="1"/>
    </xf>
    <xf numFmtId="0" fontId="0" fillId="0" borderId="64" xfId="0" applyBorder="1" applyAlignment="1" applyProtection="1">
      <alignment vertical="center" wrapText="1"/>
      <protection hidden="1"/>
    </xf>
    <xf numFmtId="0" fontId="0" fillId="0" borderId="114" xfId="0" applyBorder="1" applyAlignment="1" applyProtection="1">
      <alignment vertical="center" wrapText="1"/>
      <protection hidden="1"/>
    </xf>
    <xf numFmtId="0" fontId="0" fillId="0" borderId="232" xfId="0" applyBorder="1" applyAlignment="1" applyProtection="1">
      <alignment vertical="center" wrapText="1"/>
      <protection hidden="1"/>
    </xf>
    <xf numFmtId="0" fontId="0" fillId="2" borderId="233" xfId="0" applyFill="1" applyBorder="1" applyAlignment="1" applyProtection="1">
      <alignment vertical="center"/>
      <protection hidden="1"/>
    </xf>
    <xf numFmtId="0" fontId="0" fillId="2" borderId="234" xfId="0" applyFill="1" applyBorder="1" applyAlignment="1" applyProtection="1">
      <alignment vertical="center"/>
      <protection hidden="1"/>
    </xf>
    <xf numFmtId="0" fontId="4" fillId="8" borderId="67" xfId="0" applyFont="1" applyFill="1" applyBorder="1" applyAlignment="1">
      <alignment horizontal="center"/>
    </xf>
    <xf numFmtId="0" fontId="4" fillId="8" borderId="74" xfId="0" applyFont="1" applyFill="1" applyBorder="1" applyAlignment="1">
      <alignment horizontal="center"/>
    </xf>
    <xf numFmtId="0" fontId="4" fillId="8" borderId="60" xfId="0" applyFont="1" applyFill="1" applyBorder="1" applyAlignment="1">
      <alignment horizontal="center"/>
    </xf>
    <xf numFmtId="0" fontId="0" fillId="8" borderId="10" xfId="0" quotePrefix="1" applyFill="1" applyBorder="1"/>
    <xf numFmtId="0" fontId="0" fillId="8" borderId="10" xfId="0" applyFill="1" applyBorder="1"/>
    <xf numFmtId="0" fontId="0" fillId="8" borderId="237" xfId="0" applyFill="1" applyBorder="1"/>
    <xf numFmtId="0" fontId="0" fillId="8" borderId="130" xfId="0" quotePrefix="1" applyFill="1" applyBorder="1"/>
    <xf numFmtId="0" fontId="0" fillId="8" borderId="130" xfId="0" applyFill="1" applyBorder="1"/>
    <xf numFmtId="0" fontId="29" fillId="7" borderId="67" xfId="0" applyFont="1" applyFill="1" applyBorder="1" applyAlignment="1">
      <alignment horizontal="center"/>
    </xf>
    <xf numFmtId="0" fontId="29" fillId="7" borderId="74" xfId="0" applyFont="1" applyFill="1" applyBorder="1" applyAlignment="1">
      <alignment horizontal="center"/>
    </xf>
    <xf numFmtId="0" fontId="29" fillId="7" borderId="1" xfId="0" applyFont="1" applyFill="1" applyBorder="1" applyAlignment="1">
      <alignment horizontal="center"/>
    </xf>
    <xf numFmtId="0" fontId="4" fillId="8" borderId="66" xfId="0" applyFont="1" applyFill="1" applyBorder="1" applyAlignment="1">
      <alignment horizontal="center"/>
    </xf>
    <xf numFmtId="0" fontId="0" fillId="8" borderId="175" xfId="0" quotePrefix="1" applyFill="1" applyBorder="1"/>
    <xf numFmtId="0" fontId="0" fillId="8" borderId="175" xfId="0" applyFill="1" applyBorder="1"/>
    <xf numFmtId="0" fontId="0" fillId="8" borderId="35" xfId="0" applyFill="1" applyBorder="1"/>
    <xf numFmtId="0" fontId="0" fillId="8" borderId="236" xfId="0" quotePrefix="1" applyFill="1" applyBorder="1"/>
    <xf numFmtId="0" fontId="0" fillId="8" borderId="112" xfId="0" applyFill="1" applyBorder="1"/>
    <xf numFmtId="0" fontId="4" fillId="15" borderId="76" xfId="0" applyFont="1" applyFill="1" applyBorder="1" applyAlignment="1">
      <alignment horizontal="center" vertical="center" textRotation="180"/>
    </xf>
    <xf numFmtId="0" fontId="4" fillId="15" borderId="203" xfId="0" applyFont="1" applyFill="1" applyBorder="1" applyAlignment="1">
      <alignment horizontal="center" vertical="center" textRotation="180"/>
    </xf>
    <xf numFmtId="0" fontId="0" fillId="8" borderId="118" xfId="0" quotePrefix="1" applyFill="1" applyBorder="1"/>
    <xf numFmtId="0" fontId="0" fillId="8" borderId="115" xfId="0" applyFill="1" applyBorder="1"/>
    <xf numFmtId="0" fontId="0" fillId="2" borderId="106" xfId="0" applyFill="1" applyBorder="1" applyAlignment="1" applyProtection="1">
      <alignment vertical="center"/>
      <protection hidden="1"/>
    </xf>
    <xf numFmtId="0" fontId="0" fillId="2" borderId="127" xfId="0" applyFill="1" applyBorder="1" applyAlignment="1" applyProtection="1">
      <alignment vertical="center"/>
      <protection hidden="1"/>
    </xf>
    <xf numFmtId="0" fontId="1" fillId="2" borderId="10" xfId="0" applyFont="1" applyFill="1" applyBorder="1" applyAlignment="1" applyProtection="1">
      <alignment vertical="center"/>
      <protection hidden="1"/>
    </xf>
    <xf numFmtId="0" fontId="0" fillId="0" borderId="0" xfId="0" applyAlignment="1" applyProtection="1">
      <alignment vertical="center"/>
      <protection hidden="1"/>
    </xf>
    <xf numFmtId="0" fontId="0" fillId="0" borderId="238" xfId="0" applyBorder="1" applyAlignment="1" applyProtection="1">
      <alignment vertical="center"/>
      <protection hidden="1"/>
    </xf>
    <xf numFmtId="0" fontId="4" fillId="15" borderId="235" xfId="0" applyFont="1" applyFill="1" applyBorder="1" applyAlignment="1">
      <alignment horizontal="center" vertical="center" textRotation="180"/>
    </xf>
    <xf numFmtId="0" fontId="7" fillId="8" borderId="11" xfId="0" applyFont="1" applyFill="1" applyBorder="1" applyAlignment="1" applyProtection="1">
      <alignment horizontal="center" vertical="center"/>
      <protection hidden="1"/>
    </xf>
    <xf numFmtId="0" fontId="7" fillId="8" borderId="0" xfId="0" applyFont="1" applyFill="1" applyAlignment="1" applyProtection="1">
      <alignment horizontal="center" vertical="center"/>
      <protection hidden="1"/>
    </xf>
    <xf numFmtId="0" fontId="7" fillId="8" borderId="11" xfId="0" applyFont="1" applyFill="1" applyBorder="1" applyAlignment="1" applyProtection="1">
      <alignment horizontal="center"/>
      <protection hidden="1"/>
    </xf>
    <xf numFmtId="0" fontId="7" fillId="8" borderId="0" xfId="0" applyFont="1" applyFill="1" applyAlignment="1" applyProtection="1">
      <alignment horizontal="center"/>
      <protection hidden="1"/>
    </xf>
    <xf numFmtId="0" fontId="0" fillId="8" borderId="77" xfId="0" applyFill="1" applyBorder="1"/>
    <xf numFmtId="0" fontId="30" fillId="11" borderId="76" xfId="0" applyFont="1" applyFill="1" applyBorder="1" applyAlignment="1">
      <alignment horizontal="center" vertical="center" textRotation="180"/>
    </xf>
    <xf numFmtId="0" fontId="30" fillId="11" borderId="235" xfId="0" applyFont="1" applyFill="1" applyBorder="1" applyAlignment="1">
      <alignment horizontal="center" vertical="center" textRotation="180"/>
    </xf>
    <xf numFmtId="0" fontId="30" fillId="11" borderId="203" xfId="0" applyFont="1" applyFill="1" applyBorder="1" applyAlignment="1">
      <alignment horizontal="center" vertical="center" textRotation="180"/>
    </xf>
    <xf numFmtId="0" fontId="0" fillId="8" borderId="35" xfId="0" quotePrefix="1" applyFill="1" applyBorder="1"/>
    <xf numFmtId="0" fontId="0" fillId="2" borderId="239" xfId="0" applyFill="1" applyBorder="1" applyAlignment="1" applyProtection="1">
      <alignment vertical="center"/>
      <protection hidden="1"/>
    </xf>
    <xf numFmtId="0" fontId="0" fillId="2" borderId="238" xfId="0" applyFill="1" applyBorder="1" applyAlignment="1" applyProtection="1">
      <alignment vertical="center"/>
      <protection hidden="1"/>
    </xf>
    <xf numFmtId="0" fontId="0" fillId="8" borderId="1" xfId="0" quotePrefix="1" applyFill="1" applyBorder="1" applyAlignment="1" applyProtection="1">
      <alignment horizontal="center" vertical="center" wrapText="1"/>
      <protection hidden="1"/>
    </xf>
    <xf numFmtId="0" fontId="0" fillId="0" borderId="12" xfId="0" applyBorder="1" applyAlignment="1" applyProtection="1">
      <alignment horizontal="center" vertical="center" wrapText="1"/>
      <protection hidden="1"/>
    </xf>
    <xf numFmtId="0" fontId="0" fillId="0" borderId="60" xfId="0" applyBorder="1" applyAlignment="1" applyProtection="1">
      <alignment horizontal="center" vertical="center" wrapText="1"/>
      <protection hidden="1"/>
    </xf>
    <xf numFmtId="0" fontId="0" fillId="0" borderId="18" xfId="0" applyBorder="1" applyAlignment="1" applyProtection="1">
      <alignment vertical="center"/>
      <protection hidden="1"/>
    </xf>
    <xf numFmtId="0" fontId="1" fillId="2" borderId="108" xfId="0" applyFont="1" applyFill="1" applyBorder="1" applyAlignment="1" applyProtection="1">
      <alignment vertical="center"/>
      <protection hidden="1"/>
    </xf>
    <xf numFmtId="0" fontId="0" fillId="0" borderId="111" xfId="0" applyBorder="1" applyAlignment="1" applyProtection="1">
      <alignment vertical="center"/>
      <protection hidden="1"/>
    </xf>
    <xf numFmtId="0" fontId="5" fillId="0" borderId="9" xfId="0" applyFont="1" applyBorder="1" applyAlignment="1">
      <alignment horizontal="center"/>
    </xf>
    <xf numFmtId="0" fontId="5" fillId="0" borderId="10" xfId="0" applyFont="1" applyBorder="1" applyAlignment="1">
      <alignment horizontal="center"/>
    </xf>
    <xf numFmtId="0" fontId="5" fillId="0" borderId="1" xfId="0" applyFont="1" applyBorder="1" applyAlignment="1">
      <alignment horizontal="center"/>
    </xf>
    <xf numFmtId="0" fontId="5" fillId="0" borderId="67" xfId="0" applyFont="1" applyBorder="1" applyAlignment="1">
      <alignment horizontal="center"/>
    </xf>
    <xf numFmtId="0" fontId="5" fillId="0" borderId="74" xfId="0" applyFont="1" applyBorder="1" applyAlignment="1">
      <alignment horizont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 xfId="0" applyFont="1" applyBorder="1" applyAlignment="1">
      <alignment horizontal="center" vertical="center"/>
    </xf>
    <xf numFmtId="0" fontId="5" fillId="0" borderId="125" xfId="0" applyFont="1" applyBorder="1" applyAlignment="1">
      <alignment horizontal="center" vertical="center"/>
    </xf>
    <xf numFmtId="0" fontId="5" fillId="0" borderId="15" xfId="0" applyFont="1" applyBorder="1" applyAlignment="1">
      <alignment horizontal="center" vertical="center"/>
    </xf>
    <xf numFmtId="0" fontId="5" fillId="0" borderId="12" xfId="0" applyFont="1" applyBorder="1" applyAlignment="1">
      <alignment horizontal="center" vertical="center"/>
    </xf>
    <xf numFmtId="0" fontId="0" fillId="8" borderId="0" xfId="0" quotePrefix="1" applyFill="1"/>
    <xf numFmtId="0" fontId="0" fillId="8" borderId="0" xfId="0" applyFill="1"/>
    <xf numFmtId="0" fontId="68" fillId="0" borderId="321" xfId="0" applyFont="1" applyBorder="1" applyAlignment="1" applyProtection="1">
      <alignment horizontal="right"/>
      <protection hidden="1"/>
    </xf>
    <xf numFmtId="0" fontId="68" fillId="0" borderId="232" xfId="0" applyFont="1" applyBorder="1" applyAlignment="1" applyProtection="1">
      <alignment horizontal="right"/>
      <protection hidden="1"/>
    </xf>
    <xf numFmtId="0" fontId="38" fillId="0" borderId="0" xfId="0" applyFont="1" applyAlignment="1" applyProtection="1">
      <alignment horizontal="right"/>
      <protection hidden="1"/>
    </xf>
    <xf numFmtId="0" fontId="38" fillId="0" borderId="15" xfId="0" applyFont="1" applyBorder="1" applyAlignment="1" applyProtection="1">
      <alignment horizontal="right"/>
      <protection hidden="1"/>
    </xf>
    <xf numFmtId="0" fontId="20" fillId="0" borderId="0" xfId="0" applyFont="1" applyAlignment="1" applyProtection="1">
      <alignment horizontal="right"/>
      <protection hidden="1"/>
    </xf>
    <xf numFmtId="0" fontId="20" fillId="0" borderId="15" xfId="0" applyFont="1" applyBorder="1" applyAlignment="1" applyProtection="1">
      <alignment horizontal="right"/>
      <protection hidden="1"/>
    </xf>
    <xf numFmtId="0" fontId="65" fillId="46" borderId="0" xfId="0" applyFont="1" applyFill="1" applyAlignment="1" applyProtection="1">
      <alignment horizontal="right"/>
      <protection hidden="1"/>
    </xf>
    <xf numFmtId="0" fontId="65" fillId="46" borderId="15" xfId="0" applyFont="1" applyFill="1" applyBorder="1" applyAlignment="1" applyProtection="1">
      <alignment horizontal="right"/>
      <protection hidden="1"/>
    </xf>
    <xf numFmtId="1" fontId="0" fillId="2" borderId="108" xfId="0" applyNumberFormat="1" applyFill="1" applyBorder="1" applyAlignment="1" applyProtection="1">
      <alignment vertical="center"/>
      <protection hidden="1"/>
    </xf>
    <xf numFmtId="1" fontId="0" fillId="2" borderId="111" xfId="0" applyNumberFormat="1" applyFill="1" applyBorder="1" applyAlignment="1" applyProtection="1">
      <alignment vertical="center"/>
      <protection hidden="1"/>
    </xf>
    <xf numFmtId="1" fontId="0" fillId="2" borderId="127" xfId="0" applyNumberFormat="1" applyFill="1" applyBorder="1" applyAlignment="1" applyProtection="1">
      <alignment vertical="center"/>
      <protection hidden="1"/>
    </xf>
    <xf numFmtId="0" fontId="0" fillId="8" borderId="112" xfId="0" applyFill="1" applyBorder="1" applyProtection="1">
      <protection hidden="1"/>
    </xf>
    <xf numFmtId="0" fontId="0" fillId="8" borderId="307" xfId="0" applyFill="1" applyBorder="1" applyProtection="1">
      <protection hidden="1"/>
    </xf>
    <xf numFmtId="0" fontId="12" fillId="0" borderId="140" xfId="0" applyFont="1" applyBorder="1" applyAlignment="1" applyProtection="1">
      <alignment horizontal="center"/>
      <protection hidden="1"/>
    </xf>
    <xf numFmtId="0" fontId="12" fillId="0" borderId="141" xfId="0" applyFont="1" applyBorder="1" applyAlignment="1" applyProtection="1">
      <alignment horizontal="center"/>
      <protection hidden="1"/>
    </xf>
    <xf numFmtId="0" fontId="13" fillId="20" borderId="140" xfId="0" applyFont="1" applyFill="1" applyBorder="1" applyAlignment="1" applyProtection="1">
      <alignment horizontal="center" vertical="center"/>
      <protection hidden="1"/>
    </xf>
    <xf numFmtId="0" fontId="10" fillId="20" borderId="213" xfId="0" applyFont="1" applyFill="1" applyBorder="1" applyAlignment="1" applyProtection="1">
      <alignment horizontal="center" vertical="center"/>
      <protection hidden="1"/>
    </xf>
    <xf numFmtId="0" fontId="14" fillId="8" borderId="132" xfId="0" applyFont="1" applyFill="1" applyBorder="1" applyAlignment="1" applyProtection="1">
      <alignment horizontal="center" vertical="center" wrapText="1"/>
      <protection hidden="1"/>
    </xf>
    <xf numFmtId="0" fontId="0" fillId="8" borderId="142" xfId="0" applyFill="1" applyBorder="1" applyAlignment="1" applyProtection="1">
      <alignment horizontal="center" vertical="center" wrapText="1"/>
      <protection hidden="1"/>
    </xf>
    <xf numFmtId="0" fontId="13" fillId="41" borderId="140" xfId="0" applyFont="1" applyFill="1" applyBorder="1" applyAlignment="1" applyProtection="1">
      <alignment horizontal="center"/>
      <protection hidden="1"/>
    </xf>
    <xf numFmtId="0" fontId="13" fillId="41" borderId="213" xfId="0" applyFont="1" applyFill="1" applyBorder="1" applyAlignment="1" applyProtection="1">
      <alignment horizontal="center"/>
      <protection hidden="1"/>
    </xf>
    <xf numFmtId="0" fontId="13" fillId="41" borderId="141" xfId="0" applyFont="1" applyFill="1" applyBorder="1" applyAlignment="1" applyProtection="1">
      <alignment horizontal="center"/>
      <protection hidden="1"/>
    </xf>
    <xf numFmtId="0" fontId="21" fillId="19" borderId="140" xfId="0" applyFont="1" applyFill="1" applyBorder="1" applyAlignment="1" applyProtection="1">
      <alignment horizontal="center" vertical="center"/>
      <protection hidden="1"/>
    </xf>
    <xf numFmtId="0" fontId="10" fillId="19" borderId="213" xfId="0" applyFont="1" applyFill="1" applyBorder="1" applyAlignment="1" applyProtection="1">
      <alignment horizontal="center" vertical="center"/>
      <protection hidden="1"/>
    </xf>
    <xf numFmtId="0" fontId="14" fillId="8" borderId="262" xfId="0" applyFont="1" applyFill="1" applyBorder="1" applyAlignment="1" applyProtection="1">
      <alignment horizontal="center" vertical="center"/>
      <protection hidden="1"/>
    </xf>
    <xf numFmtId="0" fontId="0" fillId="0" borderId="263" xfId="0" applyBorder="1" applyAlignment="1">
      <alignment horizontal="center" vertical="center"/>
    </xf>
    <xf numFmtId="0" fontId="0" fillId="0" borderId="264" xfId="0" applyBorder="1" applyAlignment="1">
      <alignment horizontal="center" vertical="center"/>
    </xf>
    <xf numFmtId="0" fontId="13" fillId="18" borderId="140" xfId="0" applyFont="1" applyFill="1" applyBorder="1" applyAlignment="1" applyProtection="1">
      <alignment horizontal="center"/>
      <protection hidden="1"/>
    </xf>
    <xf numFmtId="0" fontId="13" fillId="18" borderId="213" xfId="0" applyFont="1" applyFill="1" applyBorder="1" applyAlignment="1" applyProtection="1">
      <alignment horizontal="center"/>
      <protection hidden="1"/>
    </xf>
    <xf numFmtId="0" fontId="13" fillId="18" borderId="141" xfId="0" applyFont="1" applyFill="1" applyBorder="1" applyAlignment="1" applyProtection="1">
      <alignment horizontal="center"/>
      <protection hidden="1"/>
    </xf>
    <xf numFmtId="0" fontId="13" fillId="42" borderId="140" xfId="0" applyFont="1" applyFill="1" applyBorder="1" applyAlignment="1" applyProtection="1">
      <alignment horizontal="center"/>
      <protection hidden="1"/>
    </xf>
    <xf numFmtId="0" fontId="13" fillId="42" borderId="213" xfId="0" applyFont="1" applyFill="1" applyBorder="1" applyAlignment="1" applyProtection="1">
      <alignment horizontal="center"/>
      <protection hidden="1"/>
    </xf>
    <xf numFmtId="0" fontId="13" fillId="42" borderId="141" xfId="0" applyFont="1" applyFill="1" applyBorder="1" applyAlignment="1" applyProtection="1">
      <alignment horizontal="center"/>
      <protection hidden="1"/>
    </xf>
    <xf numFmtId="0" fontId="0" fillId="0" borderId="218" xfId="0" applyBorder="1" applyAlignment="1" applyProtection="1">
      <alignment horizontal="center" vertical="center"/>
      <protection hidden="1"/>
    </xf>
    <xf numFmtId="0" fontId="0" fillId="0" borderId="220" xfId="0" applyBorder="1" applyAlignment="1" applyProtection="1">
      <alignment horizontal="center" vertical="center"/>
      <protection hidden="1"/>
    </xf>
    <xf numFmtId="0" fontId="0" fillId="0" borderId="228" xfId="0" applyBorder="1" applyAlignment="1" applyProtection="1">
      <alignment horizontal="center" vertical="center"/>
      <protection hidden="1"/>
    </xf>
    <xf numFmtId="0" fontId="10" fillId="0" borderId="140" xfId="0" applyFont="1" applyBorder="1" applyAlignment="1" applyProtection="1">
      <alignment horizontal="center" vertical="center"/>
      <protection hidden="1"/>
    </xf>
    <xf numFmtId="0" fontId="0" fillId="0" borderId="213" xfId="0" applyBorder="1" applyAlignment="1" applyProtection="1">
      <alignment horizontal="center" vertical="center"/>
      <protection hidden="1"/>
    </xf>
    <xf numFmtId="0" fontId="0" fillId="0" borderId="141" xfId="0" applyBorder="1" applyAlignment="1" applyProtection="1">
      <alignment horizontal="center" vertical="center"/>
      <protection hidden="1"/>
    </xf>
    <xf numFmtId="0" fontId="14" fillId="0" borderId="214" xfId="0" applyFont="1" applyBorder="1" applyAlignment="1" applyProtection="1">
      <alignment horizontal="center" vertical="center"/>
      <protection hidden="1"/>
    </xf>
    <xf numFmtId="0" fontId="0" fillId="0" borderId="215" xfId="0" applyBorder="1" applyAlignment="1" applyProtection="1">
      <alignment horizontal="center" vertical="center"/>
      <protection hidden="1"/>
    </xf>
    <xf numFmtId="0" fontId="12" fillId="0" borderId="140" xfId="0" applyFont="1" applyBorder="1" applyAlignment="1" applyProtection="1">
      <alignment horizontal="center" vertical="center"/>
      <protection hidden="1"/>
    </xf>
    <xf numFmtId="0" fontId="12" fillId="0" borderId="141" xfId="0" applyFont="1" applyBorder="1" applyAlignment="1" applyProtection="1">
      <alignment horizontal="center" vertical="center"/>
      <protection hidden="1"/>
    </xf>
    <xf numFmtId="0" fontId="0" fillId="0" borderId="219" xfId="0" applyBorder="1" applyAlignment="1" applyProtection="1">
      <alignment horizontal="center" vertical="center"/>
      <protection hidden="1"/>
    </xf>
    <xf numFmtId="0" fontId="13" fillId="21" borderId="140" xfId="0" applyFont="1" applyFill="1" applyBorder="1" applyAlignment="1" applyProtection="1">
      <alignment horizontal="center" vertical="center"/>
      <protection hidden="1"/>
    </xf>
    <xf numFmtId="0" fontId="10" fillId="21" borderId="213" xfId="0" applyFont="1" applyFill="1" applyBorder="1" applyAlignment="1" applyProtection="1">
      <alignment horizontal="center" vertical="center"/>
      <protection hidden="1"/>
    </xf>
    <xf numFmtId="0" fontId="14" fillId="0" borderId="216" xfId="0" applyFont="1" applyBorder="1" applyAlignment="1" applyProtection="1">
      <alignment horizontal="center" vertical="center"/>
      <protection hidden="1"/>
    </xf>
    <xf numFmtId="0" fontId="14" fillId="0" borderId="217" xfId="0" applyFont="1" applyBorder="1" applyAlignment="1" applyProtection="1">
      <alignment horizontal="center" vertical="center"/>
      <protection hidden="1"/>
    </xf>
    <xf numFmtId="0" fontId="14" fillId="0" borderId="156" xfId="0" applyFont="1" applyBorder="1" applyAlignment="1" applyProtection="1">
      <alignment horizontal="center" vertical="center"/>
      <protection hidden="1"/>
    </xf>
    <xf numFmtId="0" fontId="14" fillId="13" borderId="154" xfId="0" applyFont="1" applyFill="1" applyBorder="1" applyAlignment="1" applyProtection="1">
      <alignment horizontal="center" vertical="center"/>
      <protection hidden="1"/>
    </xf>
    <xf numFmtId="0" fontId="14" fillId="13" borderId="157" xfId="0" applyFont="1" applyFill="1" applyBorder="1" applyAlignment="1" applyProtection="1">
      <alignment horizontal="center" vertical="center"/>
      <protection hidden="1"/>
    </xf>
    <xf numFmtId="0" fontId="1" fillId="0" borderId="218" xfId="0" applyFont="1" applyBorder="1" applyAlignment="1" applyProtection="1">
      <alignment horizontal="center" vertical="center"/>
      <protection hidden="1"/>
    </xf>
    <xf numFmtId="0" fontId="1" fillId="0" borderId="220" xfId="0" applyFont="1" applyBorder="1" applyAlignment="1" applyProtection="1">
      <alignment horizontal="center" vertical="center"/>
      <protection hidden="1"/>
    </xf>
    <xf numFmtId="0" fontId="1" fillId="0" borderId="147" xfId="0" applyFont="1" applyBorder="1" applyAlignment="1" applyProtection="1">
      <alignment horizontal="center" vertical="center"/>
      <protection hidden="1"/>
    </xf>
    <xf numFmtId="0" fontId="1" fillId="0" borderId="219" xfId="0" applyFont="1" applyBorder="1" applyAlignment="1" applyProtection="1">
      <alignment horizontal="center" vertical="center"/>
      <protection hidden="1"/>
    </xf>
    <xf numFmtId="0" fontId="10" fillId="0" borderId="218" xfId="0" applyFont="1" applyBorder="1" applyAlignment="1" applyProtection="1">
      <alignment horizontal="center" vertical="center"/>
      <protection hidden="1"/>
    </xf>
    <xf numFmtId="0" fontId="10" fillId="0" borderId="219" xfId="0" applyFont="1" applyBorder="1" applyAlignment="1" applyProtection="1">
      <alignment horizontal="center" vertical="center"/>
      <protection hidden="1"/>
    </xf>
    <xf numFmtId="0" fontId="10" fillId="0" borderId="58" xfId="0" applyFont="1" applyBorder="1" applyAlignment="1" applyProtection="1">
      <alignment horizontal="center" vertical="center"/>
      <protection hidden="1"/>
    </xf>
    <xf numFmtId="0" fontId="0" fillId="0" borderId="58" xfId="0" applyBorder="1" applyAlignment="1" applyProtection="1">
      <alignment horizontal="center" vertical="center"/>
      <protection hidden="1"/>
    </xf>
    <xf numFmtId="0" fontId="0" fillId="0" borderId="150" xfId="0"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0" fillId="0" borderId="151" xfId="0" applyBorder="1" applyAlignment="1" applyProtection="1">
      <alignment horizontal="center" vertical="center" wrapText="1"/>
      <protection hidden="1"/>
    </xf>
    <xf numFmtId="0" fontId="14" fillId="13" borderId="8" xfId="0" applyFont="1" applyFill="1" applyBorder="1" applyAlignment="1" applyProtection="1">
      <alignment horizontal="center" vertical="center" wrapText="1"/>
      <protection hidden="1"/>
    </xf>
    <xf numFmtId="0" fontId="14" fillId="13" borderId="46" xfId="0" applyFont="1" applyFill="1" applyBorder="1" applyAlignment="1" applyProtection="1">
      <alignment horizontal="center" vertical="center" wrapText="1"/>
      <protection hidden="1"/>
    </xf>
    <xf numFmtId="0" fontId="14" fillId="13" borderId="47" xfId="0" applyFont="1" applyFill="1" applyBorder="1" applyAlignment="1" applyProtection="1">
      <alignment horizontal="center" vertical="center"/>
      <protection hidden="1"/>
    </xf>
    <xf numFmtId="0" fontId="14" fillId="13" borderId="50" xfId="0" applyFont="1" applyFill="1" applyBorder="1" applyAlignment="1" applyProtection="1">
      <alignment horizontal="center" vertical="center"/>
      <protection hidden="1"/>
    </xf>
    <xf numFmtId="0" fontId="10" fillId="0" borderId="48" xfId="0" applyFont="1" applyBorder="1" applyAlignment="1" applyProtection="1">
      <alignment horizontal="center" vertical="center"/>
      <protection hidden="1"/>
    </xf>
    <xf numFmtId="0" fontId="0" fillId="0" borderId="160" xfId="0" applyBorder="1" applyAlignment="1" applyProtection="1">
      <alignment horizontal="center" vertical="center"/>
      <protection hidden="1"/>
    </xf>
    <xf numFmtId="0" fontId="0" fillId="0" borderId="47" xfId="0" applyBorder="1" applyAlignment="1" applyProtection="1">
      <alignment horizontal="center" vertical="center" wrapText="1"/>
      <protection hidden="1"/>
    </xf>
    <xf numFmtId="0" fontId="0" fillId="0" borderId="229" xfId="0"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0" fillId="0" borderId="159" xfId="0" applyBorder="1" applyAlignment="1" applyProtection="1">
      <alignment horizontal="center" vertical="center" wrapText="1"/>
      <protection hidden="1"/>
    </xf>
    <xf numFmtId="0" fontId="0" fillId="0" borderId="230" xfId="0" applyBorder="1" applyAlignment="1" applyProtection="1">
      <alignment horizontal="center" vertical="center" wrapText="1"/>
      <protection hidden="1"/>
    </xf>
    <xf numFmtId="0" fontId="0" fillId="0" borderId="161" xfId="0" applyBorder="1" applyAlignment="1" applyProtection="1">
      <alignment horizontal="center" vertical="center" wrapText="1"/>
      <protection hidden="1"/>
    </xf>
    <xf numFmtId="0" fontId="1" fillId="0" borderId="47" xfId="0" applyFont="1" applyBorder="1" applyAlignment="1" applyProtection="1">
      <alignment horizontal="center" vertical="center" wrapText="1"/>
      <protection hidden="1"/>
    </xf>
    <xf numFmtId="0" fontId="1" fillId="0" borderId="229" xfId="0" applyFont="1" applyBorder="1" applyAlignment="1" applyProtection="1">
      <alignment horizontal="center" vertical="center" wrapText="1"/>
      <protection hidden="1"/>
    </xf>
    <xf numFmtId="0" fontId="1" fillId="0" borderId="49" xfId="0" applyFont="1" applyBorder="1" applyAlignment="1" applyProtection="1">
      <alignment horizontal="center" vertical="center" wrapText="1"/>
      <protection hidden="1"/>
    </xf>
    <xf numFmtId="0" fontId="1" fillId="0" borderId="150" xfId="0" applyFont="1" applyBorder="1" applyAlignment="1" applyProtection="1">
      <alignment horizontal="center" vertical="center" wrapText="1"/>
      <protection hidden="1"/>
    </xf>
    <xf numFmtId="0" fontId="1" fillId="0" borderId="0" xfId="0" applyFont="1" applyAlignment="1" applyProtection="1">
      <alignment horizontal="center" vertical="center" wrapText="1"/>
      <protection hidden="1"/>
    </xf>
    <xf numFmtId="0" fontId="1" fillId="0" borderId="151" xfId="0" applyFont="1" applyBorder="1" applyAlignment="1" applyProtection="1">
      <alignment horizontal="center" vertical="center" wrapText="1"/>
      <protection hidden="1"/>
    </xf>
    <xf numFmtId="0" fontId="3" fillId="13" borderId="47" xfId="0" applyFont="1" applyFill="1" applyBorder="1" applyAlignment="1" applyProtection="1">
      <alignment horizontal="center" vertical="center"/>
      <protection hidden="1"/>
    </xf>
    <xf numFmtId="0" fontId="0" fillId="13" borderId="229" xfId="0" applyFill="1" applyBorder="1" applyAlignment="1" applyProtection="1">
      <alignment horizontal="center" vertical="center"/>
      <protection hidden="1"/>
    </xf>
    <xf numFmtId="0" fontId="0" fillId="13" borderId="150" xfId="0" applyFill="1" applyBorder="1" applyAlignment="1" applyProtection="1">
      <alignment horizontal="center" vertical="center"/>
      <protection hidden="1"/>
    </xf>
    <xf numFmtId="0" fontId="0" fillId="13" borderId="0" xfId="0" applyFill="1" applyAlignment="1" applyProtection="1">
      <alignment horizontal="center" vertical="center"/>
      <protection hidden="1"/>
    </xf>
    <xf numFmtId="0" fontId="14" fillId="13" borderId="146" xfId="0" applyFont="1" applyFill="1" applyBorder="1" applyAlignment="1" applyProtection="1">
      <alignment horizontal="center" vertical="center" wrapText="1"/>
      <protection hidden="1"/>
    </xf>
    <xf numFmtId="0" fontId="14" fillId="13" borderId="231" xfId="0" applyFont="1" applyFill="1" applyBorder="1" applyAlignment="1" applyProtection="1">
      <alignment horizontal="center" vertical="center" wrapText="1"/>
      <protection hidden="1"/>
    </xf>
    <xf numFmtId="0" fontId="1" fillId="0" borderId="348" xfId="0" applyFont="1" applyBorder="1" applyAlignment="1" applyProtection="1">
      <alignment horizontal="center" vertical="center"/>
      <protection hidden="1"/>
    </xf>
    <xf numFmtId="0" fontId="1" fillId="0" borderId="351" xfId="0" applyFont="1" applyBorder="1" applyAlignment="1" applyProtection="1">
      <alignment horizontal="center" vertical="center"/>
      <protection hidden="1"/>
    </xf>
    <xf numFmtId="0" fontId="1" fillId="0" borderId="350" xfId="0" applyFont="1" applyBorder="1" applyAlignment="1" applyProtection="1">
      <alignment horizontal="center" vertical="center"/>
      <protection hidden="1"/>
    </xf>
    <xf numFmtId="0" fontId="1" fillId="0" borderId="159" xfId="0" applyFont="1" applyBorder="1" applyAlignment="1" applyProtection="1">
      <alignment horizontal="center" vertical="center"/>
      <protection hidden="1"/>
    </xf>
    <xf numFmtId="0" fontId="1" fillId="0" borderId="230" xfId="0" applyFont="1" applyBorder="1" applyAlignment="1" applyProtection="1">
      <alignment horizontal="center" vertical="center"/>
      <protection hidden="1"/>
    </xf>
    <xf numFmtId="0" fontId="1" fillId="0" borderId="161" xfId="0" applyFont="1" applyBorder="1" applyAlignment="1" applyProtection="1">
      <alignment horizontal="center" vertical="center"/>
      <protection hidden="1"/>
    </xf>
    <xf numFmtId="0" fontId="13" fillId="11" borderId="140" xfId="0" applyFont="1" applyFill="1" applyBorder="1" applyAlignment="1" applyProtection="1">
      <alignment horizontal="center" vertical="center"/>
      <protection hidden="1"/>
    </xf>
    <xf numFmtId="0" fontId="13" fillId="11" borderId="141" xfId="0" applyFont="1" applyFill="1" applyBorder="1" applyAlignment="1" applyProtection="1">
      <alignment horizontal="center" vertical="center"/>
      <protection hidden="1"/>
    </xf>
    <xf numFmtId="0" fontId="10" fillId="0" borderId="221" xfId="0" applyFont="1" applyBorder="1" applyAlignment="1" applyProtection="1">
      <alignment vertical="center"/>
      <protection hidden="1"/>
    </xf>
    <xf numFmtId="0" fontId="10" fillId="0" borderId="215" xfId="0" applyFont="1" applyBorder="1" applyAlignment="1" applyProtection="1">
      <alignment vertical="center"/>
      <protection hidden="1"/>
    </xf>
    <xf numFmtId="0" fontId="10" fillId="0" borderId="222" xfId="0" applyFont="1" applyBorder="1" applyAlignment="1" applyProtection="1">
      <alignment vertical="center"/>
      <protection hidden="1"/>
    </xf>
    <xf numFmtId="0" fontId="10" fillId="0" borderId="223" xfId="0" applyFont="1" applyBorder="1" applyAlignment="1" applyProtection="1">
      <alignment vertical="center"/>
      <protection hidden="1"/>
    </xf>
    <xf numFmtId="0" fontId="10" fillId="0" borderId="213" xfId="0" applyFont="1" applyBorder="1" applyAlignment="1" applyProtection="1">
      <alignment horizontal="center" vertical="center"/>
      <protection hidden="1"/>
    </xf>
    <xf numFmtId="0" fontId="21" fillId="8" borderId="132" xfId="0" applyFont="1" applyFill="1" applyBorder="1" applyAlignment="1" applyProtection="1">
      <alignment horizontal="center" vertical="center"/>
      <protection hidden="1"/>
    </xf>
    <xf numFmtId="0" fontId="0" fillId="0" borderId="134" xfId="0" applyBorder="1" applyAlignment="1" applyProtection="1">
      <alignment horizontal="center" vertical="center"/>
      <protection hidden="1"/>
    </xf>
    <xf numFmtId="0" fontId="0" fillId="0" borderId="224" xfId="0" applyBorder="1" applyAlignment="1" applyProtection="1">
      <alignment horizontal="center" vertical="center"/>
      <protection hidden="1"/>
    </xf>
    <xf numFmtId="0" fontId="0" fillId="0" borderId="225" xfId="0" applyBorder="1" applyAlignment="1" applyProtection="1">
      <alignment horizontal="center" vertical="center"/>
      <protection hidden="1"/>
    </xf>
    <xf numFmtId="0" fontId="3" fillId="8" borderId="132" xfId="0" applyFont="1" applyFill="1" applyBorder="1" applyAlignment="1" applyProtection="1">
      <alignment horizontal="center" vertical="center"/>
      <protection hidden="1"/>
    </xf>
    <xf numFmtId="0" fontId="0" fillId="0" borderId="226" xfId="0" applyBorder="1" applyAlignment="1" applyProtection="1">
      <alignment horizontal="center" vertical="center"/>
      <protection hidden="1"/>
    </xf>
    <xf numFmtId="0" fontId="0" fillId="0" borderId="227" xfId="0" applyBorder="1" applyAlignment="1" applyProtection="1">
      <alignment horizontal="center" vertical="center"/>
      <protection hidden="1"/>
    </xf>
    <xf numFmtId="0" fontId="1" fillId="0" borderId="349" xfId="0" applyFont="1" applyBorder="1" applyAlignment="1" applyProtection="1">
      <alignment horizontal="center" vertical="center" wrapText="1"/>
      <protection hidden="1"/>
    </xf>
    <xf numFmtId="0" fontId="1" fillId="0" borderId="160" xfId="0" applyFont="1" applyBorder="1" applyAlignment="1" applyProtection="1">
      <alignment horizontal="center" vertical="center" wrapText="1"/>
      <protection hidden="1"/>
    </xf>
    <xf numFmtId="0" fontId="13" fillId="18" borderId="140" xfId="0" applyFont="1" applyFill="1" applyBorder="1" applyAlignment="1" applyProtection="1">
      <alignment horizontal="center" vertical="center"/>
      <protection hidden="1"/>
    </xf>
    <xf numFmtId="0" fontId="21" fillId="18" borderId="213" xfId="0" applyFont="1" applyFill="1" applyBorder="1" applyAlignment="1" applyProtection="1">
      <alignment horizontal="center" vertical="center"/>
      <protection hidden="1"/>
    </xf>
    <xf numFmtId="0" fontId="13" fillId="7" borderId="47" xfId="0" applyFont="1" applyFill="1" applyBorder="1" applyAlignment="1" applyProtection="1">
      <alignment horizontal="center" vertical="center"/>
      <protection hidden="1"/>
    </xf>
    <xf numFmtId="0" fontId="13" fillId="7" borderId="50" xfId="0" applyFont="1" applyFill="1" applyBorder="1" applyAlignment="1" applyProtection="1">
      <alignment horizontal="center" vertical="center"/>
      <protection hidden="1"/>
    </xf>
    <xf numFmtId="0" fontId="0" fillId="0" borderId="20" xfId="0" quotePrefix="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86" xfId="0" applyBorder="1" applyAlignment="1">
      <alignment horizontal="center" vertical="center"/>
    </xf>
    <xf numFmtId="0" fontId="0" fillId="0" borderId="10" xfId="0" applyBorder="1" applyAlignment="1">
      <alignment horizontal="center" vertical="center"/>
    </xf>
    <xf numFmtId="0" fontId="0" fillId="0" borderId="82" xfId="0" applyBorder="1" applyAlignment="1">
      <alignment horizontal="center" vertical="center"/>
    </xf>
    <xf numFmtId="0" fontId="0" fillId="0" borderId="0" xfId="0" applyAlignment="1">
      <alignment horizontal="center" vertical="center"/>
    </xf>
    <xf numFmtId="0" fontId="0" fillId="0" borderId="240"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wrapText="1"/>
    </xf>
    <xf numFmtId="0" fontId="0" fillId="0" borderId="110" xfId="0" applyBorder="1" applyAlignment="1">
      <alignment horizontal="center" vertical="center" wrapText="1"/>
    </xf>
    <xf numFmtId="0" fontId="0" fillId="0" borderId="126" xfId="0" applyBorder="1" applyAlignment="1">
      <alignment horizontal="center" vertical="center" wrapText="1"/>
    </xf>
    <xf numFmtId="0" fontId="0" fillId="0" borderId="9" xfId="0" applyBorder="1" applyAlignment="1">
      <alignment horizontal="center" vertical="center"/>
    </xf>
    <xf numFmtId="0" fontId="0" fillId="0" borderId="11" xfId="0" applyBorder="1" applyAlignment="1">
      <alignment horizontal="center" vertical="center"/>
    </xf>
    <xf numFmtId="0" fontId="0" fillId="14" borderId="96" xfId="0" quotePrefix="1" applyFill="1" applyBorder="1" applyAlignment="1">
      <alignment wrapText="1"/>
    </xf>
    <xf numFmtId="0" fontId="0" fillId="14" borderId="96" xfId="0" applyFill="1" applyBorder="1" applyAlignment="1">
      <alignment wrapText="1"/>
    </xf>
    <xf numFmtId="0" fontId="0" fillId="14" borderId="0" xfId="0" applyFill="1" applyAlignment="1">
      <alignment wrapText="1"/>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4" fillId="0" borderId="202"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60" xfId="0" applyFont="1" applyBorder="1" applyAlignment="1">
      <alignment horizontal="center" vertical="center"/>
    </xf>
    <xf numFmtId="0" fontId="0" fillId="0" borderId="241" xfId="0" applyBorder="1" applyAlignment="1">
      <alignment horizontal="center"/>
    </xf>
    <xf numFmtId="0" fontId="0" fillId="0" borderId="242" xfId="0" applyBorder="1" applyAlignment="1">
      <alignment horizontal="center"/>
    </xf>
    <xf numFmtId="0" fontId="0" fillId="0" borderId="243" xfId="0" applyBorder="1" applyAlignment="1">
      <alignment horizontal="right"/>
    </xf>
    <xf numFmtId="0" fontId="0" fillId="0" borderId="244" xfId="0" applyBorder="1" applyAlignment="1">
      <alignment horizontal="right"/>
    </xf>
    <xf numFmtId="0" fontId="0" fillId="0" borderId="245" xfId="0" applyBorder="1" applyAlignment="1">
      <alignment horizontal="right"/>
    </xf>
    <xf numFmtId="0" fontId="0" fillId="0" borderId="246" xfId="0" applyBorder="1"/>
    <xf numFmtId="0" fontId="0" fillId="0" borderId="90" xfId="0" applyBorder="1"/>
    <xf numFmtId="0" fontId="0" fillId="0" borderId="247" xfId="0" applyBorder="1"/>
    <xf numFmtId="0" fontId="4" fillId="0" borderId="39" xfId="0" applyFont="1" applyBorder="1" applyAlignment="1">
      <alignment horizontal="center"/>
    </xf>
    <xf numFmtId="0" fontId="4" fillId="0" borderId="35" xfId="0" applyFont="1" applyBorder="1" applyAlignment="1">
      <alignment horizontal="center"/>
    </xf>
    <xf numFmtId="0" fontId="4" fillId="0" borderId="7" xfId="0" applyFont="1" applyBorder="1" applyAlignment="1">
      <alignment horizontal="center"/>
    </xf>
    <xf numFmtId="0" fontId="4" fillId="0" borderId="10" xfId="0" applyFont="1" applyBorder="1" applyAlignment="1">
      <alignment horizontal="center"/>
    </xf>
    <xf numFmtId="0" fontId="4" fillId="0" borderId="1" xfId="0" applyFont="1" applyBorder="1" applyAlignment="1">
      <alignment horizontal="center"/>
    </xf>
    <xf numFmtId="0" fontId="0" fillId="0" borderId="86" xfId="0" applyBorder="1" applyAlignment="1">
      <alignment horizontal="center"/>
    </xf>
    <xf numFmtId="0" fontId="0" fillId="0" borderId="10" xfId="0" applyBorder="1" applyAlignment="1">
      <alignment horizontal="center"/>
    </xf>
    <xf numFmtId="0" fontId="0" fillId="0" borderId="107" xfId="0" applyBorder="1" applyAlignment="1">
      <alignment horizontal="center"/>
    </xf>
    <xf numFmtId="0" fontId="0" fillId="0" borderId="1" xfId="0" applyBorder="1" applyAlignment="1">
      <alignment horizontal="center"/>
    </xf>
    <xf numFmtId="1" fontId="0" fillId="0" borderId="10" xfId="0" applyNumberFormat="1" applyBorder="1" applyAlignment="1">
      <alignment horizontal="center"/>
    </xf>
    <xf numFmtId="1" fontId="0" fillId="0" borderId="1" xfId="0" applyNumberFormat="1" applyBorder="1" applyAlignment="1">
      <alignment horizontal="center"/>
    </xf>
    <xf numFmtId="1" fontId="0" fillId="0" borderId="11" xfId="0" applyNumberFormat="1" applyBorder="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125" xfId="0" applyBorder="1" applyAlignment="1">
      <alignment horizontal="center" vertical="center" wrapText="1"/>
    </xf>
    <xf numFmtId="0" fontId="0" fillId="0" borderId="15" xfId="0" applyBorder="1" applyAlignment="1">
      <alignment horizontal="center" vertical="center" wrapText="1"/>
    </xf>
    <xf numFmtId="1" fontId="0" fillId="0" borderId="20" xfId="0" quotePrefix="1" applyNumberFormat="1" applyBorder="1" applyAlignment="1">
      <alignment horizontal="center" vertical="center" wrapText="1"/>
    </xf>
    <xf numFmtId="1" fontId="0" fillId="0" borderId="13" xfId="0" applyNumberFormat="1" applyBorder="1" applyAlignment="1">
      <alignment horizontal="center" vertical="center" wrapText="1"/>
    </xf>
    <xf numFmtId="1" fontId="0" fillId="0" borderId="14" xfId="0" applyNumberFormat="1" applyBorder="1" applyAlignment="1">
      <alignment horizontal="center" vertical="center" wrapText="1"/>
    </xf>
    <xf numFmtId="0" fontId="0" fillId="0" borderId="248" xfId="0" applyBorder="1" applyAlignment="1">
      <alignment horizontal="center"/>
    </xf>
    <xf numFmtId="0" fontId="0" fillId="0" borderId="237" xfId="0" applyBorder="1" applyAlignment="1">
      <alignment horizontal="center"/>
    </xf>
    <xf numFmtId="0" fontId="0" fillId="0" borderId="249" xfId="0" applyBorder="1" applyAlignment="1">
      <alignment horizontal="center" vertical="center"/>
    </xf>
    <xf numFmtId="0" fontId="0" fillId="0" borderId="250" xfId="0" applyBorder="1" applyAlignment="1">
      <alignment horizontal="center" vertical="center"/>
    </xf>
    <xf numFmtId="1" fontId="4" fillId="0" borderId="9" xfId="0" applyNumberFormat="1" applyFont="1" applyBorder="1" applyAlignment="1">
      <alignment horizontal="center"/>
    </xf>
    <xf numFmtId="1" fontId="0" fillId="0" borderId="9" xfId="0" applyNumberFormat="1" applyBorder="1" applyAlignment="1">
      <alignment horizontal="center" vertical="center" wrapText="1"/>
    </xf>
    <xf numFmtId="0" fontId="0" fillId="0" borderId="10" xfId="0" applyBorder="1" applyAlignment="1">
      <alignment horizontal="center" vertical="center" wrapText="1"/>
    </xf>
    <xf numFmtId="0" fontId="0" fillId="16" borderId="251" xfId="0" applyFill="1" applyBorder="1" applyAlignment="1">
      <alignment horizontal="center"/>
    </xf>
    <xf numFmtId="0" fontId="0" fillId="0" borderId="252" xfId="0" applyBorder="1" applyAlignment="1">
      <alignment horizontal="center"/>
    </xf>
    <xf numFmtId="0" fontId="0" fillId="0" borderId="253" xfId="0" applyBorder="1" applyAlignment="1">
      <alignment horizontal="center"/>
    </xf>
    <xf numFmtId="0" fontId="0" fillId="2" borderId="254" xfId="0" applyFill="1" applyBorder="1" applyAlignment="1">
      <alignment horizontal="center"/>
    </xf>
    <xf numFmtId="0" fontId="0" fillId="2" borderId="252" xfId="0" applyFill="1" applyBorder="1" applyAlignment="1">
      <alignment horizontal="center"/>
    </xf>
    <xf numFmtId="0" fontId="0" fillId="2" borderId="253" xfId="0" applyFill="1" applyBorder="1" applyAlignment="1">
      <alignment horizontal="center"/>
    </xf>
    <xf numFmtId="0" fontId="0" fillId="4" borderId="251" xfId="0" applyFill="1" applyBorder="1" applyAlignment="1">
      <alignment horizontal="center"/>
    </xf>
    <xf numFmtId="0" fontId="0" fillId="4" borderId="252" xfId="0" applyFill="1" applyBorder="1" applyAlignment="1">
      <alignment horizontal="center"/>
    </xf>
    <xf numFmtId="0" fontId="0" fillId="4" borderId="253" xfId="0" applyFill="1" applyBorder="1" applyAlignment="1">
      <alignment horizontal="center"/>
    </xf>
    <xf numFmtId="0" fontId="0" fillId="0" borderId="204" xfId="0" applyBorder="1" applyAlignment="1">
      <alignment horizontal="center" vertical="center" wrapText="1"/>
    </xf>
    <xf numFmtId="0" fontId="0" fillId="0" borderId="83" xfId="0" applyBorder="1" applyAlignment="1">
      <alignment horizontal="center" vertical="center" wrapText="1"/>
    </xf>
    <xf numFmtId="0" fontId="0" fillId="0" borderId="205" xfId="0" applyBorder="1" applyAlignment="1">
      <alignment horizontal="center" vertical="center"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0" fillId="0" borderId="202" xfId="0" applyBorder="1" applyAlignment="1">
      <alignment horizontal="center" vertical="center" wrapText="1"/>
    </xf>
    <xf numFmtId="0" fontId="0" fillId="0" borderId="86" xfId="0" applyBorder="1" applyAlignment="1">
      <alignment horizontal="center" vertical="center" wrapText="1"/>
    </xf>
    <xf numFmtId="0" fontId="0" fillId="0" borderId="82" xfId="0" applyBorder="1" applyAlignment="1">
      <alignment horizontal="center" vertical="center" wrapText="1"/>
    </xf>
    <xf numFmtId="0" fontId="0" fillId="0" borderId="240" xfId="0" applyBorder="1" applyAlignment="1">
      <alignment horizontal="center" vertical="center" wrapText="1"/>
    </xf>
    <xf numFmtId="0" fontId="0" fillId="0" borderId="204" xfId="0" applyBorder="1" applyAlignment="1">
      <alignment horizontal="center" vertical="center"/>
    </xf>
    <xf numFmtId="0" fontId="0" fillId="0" borderId="83" xfId="0" applyBorder="1" applyAlignment="1">
      <alignment horizontal="center" vertical="center"/>
    </xf>
    <xf numFmtId="0" fontId="0" fillId="0" borderId="205" xfId="0" applyBorder="1" applyAlignment="1">
      <alignment horizontal="center" vertical="center"/>
    </xf>
    <xf numFmtId="0" fontId="10" fillId="0" borderId="208" xfId="0" applyFont="1" applyBorder="1" applyAlignment="1">
      <alignment horizontal="center" vertical="center" wrapText="1"/>
    </xf>
    <xf numFmtId="0" fontId="10" fillId="0" borderId="255" xfId="0" applyFont="1" applyBorder="1" applyAlignment="1">
      <alignment horizontal="center" vertical="center" wrapText="1"/>
    </xf>
    <xf numFmtId="0" fontId="10" fillId="0" borderId="256" xfId="0" applyFont="1" applyBorder="1" applyAlignment="1">
      <alignment horizontal="center" vertical="center" wrapText="1"/>
    </xf>
    <xf numFmtId="0" fontId="0" fillId="0" borderId="9" xfId="0" quotePrefix="1" applyBorder="1" applyAlignment="1">
      <alignment horizontal="center"/>
    </xf>
    <xf numFmtId="0" fontId="0" fillId="0" borderId="68" xfId="0" applyBorder="1" applyAlignment="1">
      <alignment horizontal="center"/>
    </xf>
    <xf numFmtId="0" fontId="0" fillId="0" borderId="74" xfId="0" applyBorder="1" applyAlignment="1">
      <alignment horizontal="center"/>
    </xf>
    <xf numFmtId="0" fontId="0" fillId="0" borderId="174" xfId="0" applyBorder="1" applyAlignment="1">
      <alignment horizontal="center"/>
    </xf>
    <xf numFmtId="0" fontId="0" fillId="0" borderId="177" xfId="0" applyBorder="1" applyAlignment="1">
      <alignment horizontal="center" vertical="center"/>
    </xf>
    <xf numFmtId="0" fontId="0" fillId="0" borderId="164" xfId="0" applyBorder="1" applyAlignment="1">
      <alignment horizontal="center" vertical="center"/>
    </xf>
    <xf numFmtId="0" fontId="0" fillId="0" borderId="64" xfId="0" applyBorder="1" applyAlignment="1">
      <alignment horizontal="center"/>
    </xf>
    <xf numFmtId="0" fontId="0" fillId="0" borderId="108" xfId="0" applyBorder="1" applyAlignment="1">
      <alignment horizontal="center"/>
    </xf>
    <xf numFmtId="0" fontId="0" fillId="0" borderId="26" xfId="0" applyBorder="1" applyAlignment="1">
      <alignment horizontal="center"/>
    </xf>
    <xf numFmtId="0" fontId="0" fillId="0" borderId="125" xfId="0" applyBorder="1" applyAlignment="1">
      <alignment horizontal="center" vertical="center"/>
    </xf>
    <xf numFmtId="0" fontId="0" fillId="0" borderId="112" xfId="0" applyBorder="1" applyAlignment="1" applyProtection="1">
      <alignment horizontal="center" vertical="center"/>
      <protection hidden="1"/>
    </xf>
    <xf numFmtId="0" fontId="0" fillId="0" borderId="114" xfId="0" applyBorder="1" applyAlignment="1" applyProtection="1">
      <alignment horizontal="center" vertical="center"/>
      <protection hidden="1"/>
    </xf>
    <xf numFmtId="0" fontId="0" fillId="0" borderId="321" xfId="0" applyBorder="1" applyAlignment="1" applyProtection="1">
      <alignment horizontal="center" vertical="center"/>
      <protection hidden="1"/>
    </xf>
    <xf numFmtId="0" fontId="0" fillId="0" borderId="118" xfId="0" applyBorder="1" applyAlignment="1" applyProtection="1">
      <alignment horizontal="center" vertical="center"/>
      <protection hidden="1"/>
    </xf>
    <xf numFmtId="0" fontId="0" fillId="0" borderId="80" xfId="0" applyBorder="1" applyAlignment="1" applyProtection="1">
      <alignment horizontal="center"/>
      <protection hidden="1"/>
    </xf>
    <xf numFmtId="0" fontId="0" fillId="0" borderId="35" xfId="0" applyBorder="1" applyAlignment="1" applyProtection="1">
      <alignment horizontal="center"/>
      <protection hidden="1"/>
    </xf>
    <xf numFmtId="0" fontId="0" fillId="0" borderId="7" xfId="0" applyBorder="1" applyAlignment="1" applyProtection="1">
      <alignment horizontal="center"/>
      <protection hidden="1"/>
    </xf>
    <xf numFmtId="0" fontId="0" fillId="0" borderId="237"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115" xfId="0" applyBorder="1" applyAlignment="1" applyProtection="1">
      <alignment horizontal="center" vertical="center"/>
      <protection hidden="1"/>
    </xf>
    <xf numFmtId="0" fontId="0" fillId="0" borderId="257" xfId="0" applyBorder="1" applyAlignment="1" applyProtection="1">
      <alignment horizontal="center" vertical="center"/>
      <protection hidden="1"/>
    </xf>
    <xf numFmtId="0" fontId="0" fillId="0" borderId="12" xfId="0" applyBorder="1" applyAlignment="1" applyProtection="1">
      <alignment horizontal="center" vertical="center"/>
      <protection hidden="1"/>
    </xf>
    <xf numFmtId="0" fontId="0" fillId="0" borderId="114" xfId="0" applyBorder="1" applyAlignment="1">
      <alignment horizontal="center" vertical="center"/>
    </xf>
    <xf numFmtId="0" fontId="0" fillId="0" borderId="12" xfId="0" applyBorder="1" applyAlignment="1">
      <alignment horizontal="center" vertical="center"/>
    </xf>
    <xf numFmtId="0" fontId="0" fillId="0" borderId="118" xfId="0" applyBorder="1" applyAlignment="1">
      <alignment horizontal="center" vertical="center"/>
    </xf>
    <xf numFmtId="0" fontId="0" fillId="0" borderId="115" xfId="0" applyBorder="1" applyAlignment="1">
      <alignment horizontal="center" vertical="center"/>
    </xf>
    <xf numFmtId="0" fontId="0" fillId="0" borderId="183" xfId="0" applyBorder="1" applyAlignment="1">
      <alignment horizontal="center" vertical="center"/>
    </xf>
    <xf numFmtId="0" fontId="0" fillId="0" borderId="113" xfId="0" applyBorder="1" applyAlignment="1" applyProtection="1">
      <alignment horizontal="center" vertical="center"/>
      <protection hidden="1"/>
    </xf>
    <xf numFmtId="0" fontId="0" fillId="0" borderId="119" xfId="0" applyBorder="1" applyAlignment="1" applyProtection="1">
      <alignment horizontal="center" vertical="center"/>
      <protection hidden="1"/>
    </xf>
    <xf numFmtId="0" fontId="0" fillId="0" borderId="24" xfId="0" applyBorder="1" applyAlignment="1" applyProtection="1">
      <alignment horizontal="center" vertical="center"/>
      <protection hidden="1"/>
    </xf>
    <xf numFmtId="0" fontId="0" fillId="0" borderId="258" xfId="0" applyBorder="1" applyAlignment="1" applyProtection="1">
      <alignment horizontal="center" vertical="center"/>
      <protection hidden="1"/>
    </xf>
    <xf numFmtId="0" fontId="0" fillId="0" borderId="80" xfId="0" applyBorder="1" applyAlignment="1" applyProtection="1">
      <alignment horizontal="center" vertical="center"/>
      <protection hidden="1"/>
    </xf>
    <xf numFmtId="0" fontId="0" fillId="0" borderId="35" xfId="0" applyBorder="1" applyAlignment="1" applyProtection="1">
      <alignment horizontal="center" vertical="center"/>
      <protection hidden="1"/>
    </xf>
    <xf numFmtId="0" fontId="0" fillId="24" borderId="112" xfId="0" applyFill="1" applyBorder="1" applyAlignment="1" applyProtection="1">
      <alignment horizontal="center"/>
      <protection hidden="1"/>
    </xf>
    <xf numFmtId="0" fontId="0" fillId="24" borderId="114" xfId="0" applyFill="1" applyBorder="1" applyAlignment="1" applyProtection="1">
      <alignment horizontal="center"/>
      <protection hidden="1"/>
    </xf>
    <xf numFmtId="0" fontId="0" fillId="24" borderId="118" xfId="0" applyFill="1" applyBorder="1" applyAlignment="1" applyProtection="1">
      <alignment horizontal="center"/>
      <protection hidden="1"/>
    </xf>
    <xf numFmtId="0" fontId="0" fillId="0" borderId="105" xfId="0" applyBorder="1" applyAlignment="1" applyProtection="1">
      <alignment horizontal="center" vertical="center"/>
      <protection hidden="1"/>
    </xf>
    <xf numFmtId="0" fontId="0" fillId="0" borderId="18" xfId="0" applyBorder="1" applyAlignment="1" applyProtection="1">
      <alignment horizontal="center" vertical="center"/>
      <protection hidden="1"/>
    </xf>
    <xf numFmtId="0" fontId="0" fillId="0" borderId="106" xfId="0" applyBorder="1" applyAlignment="1" applyProtection="1">
      <alignment horizontal="center" vertical="center"/>
      <protection hidden="1"/>
    </xf>
    <xf numFmtId="0" fontId="0" fillId="0" borderId="106" xfId="0" applyBorder="1" applyAlignment="1">
      <alignment horizontal="center" vertical="center"/>
    </xf>
    <xf numFmtId="0" fontId="0" fillId="24" borderId="112" xfId="0" applyFill="1" applyBorder="1" applyAlignment="1" applyProtection="1">
      <alignment horizontal="center" vertical="center"/>
      <protection hidden="1"/>
    </xf>
    <xf numFmtId="0" fontId="0" fillId="24" borderId="114" xfId="0" applyFill="1" applyBorder="1" applyAlignment="1" applyProtection="1">
      <alignment horizontal="center" vertical="center"/>
      <protection hidden="1"/>
    </xf>
    <xf numFmtId="0" fontId="0" fillId="24" borderId="118" xfId="0" applyFill="1" applyBorder="1" applyAlignment="1" applyProtection="1">
      <alignment horizontal="center" vertical="center"/>
      <protection hidden="1"/>
    </xf>
    <xf numFmtId="0" fontId="0" fillId="24" borderId="105" xfId="0" applyFill="1" applyBorder="1" applyAlignment="1" applyProtection="1">
      <alignment horizontal="center" vertical="center"/>
      <protection hidden="1"/>
    </xf>
    <xf numFmtId="0" fontId="0" fillId="24" borderId="106" xfId="0" applyFill="1" applyBorder="1" applyAlignment="1">
      <alignment horizontal="center" vertical="center"/>
    </xf>
    <xf numFmtId="0" fontId="0" fillId="0" borderId="0" xfId="0" applyAlignment="1">
      <alignment horizontal="center"/>
    </xf>
    <xf numFmtId="0" fontId="2" fillId="34" borderId="67" xfId="0" applyFont="1" applyFill="1" applyBorder="1" applyAlignment="1">
      <alignment horizontal="center"/>
    </xf>
    <xf numFmtId="0" fontId="2" fillId="34" borderId="74" xfId="0" applyFont="1" applyFill="1" applyBorder="1" applyAlignment="1">
      <alignment horizontal="center"/>
    </xf>
    <xf numFmtId="0" fontId="2" fillId="34" borderId="66" xfId="0" applyFont="1" applyFill="1" applyBorder="1" applyAlignment="1">
      <alignment horizontal="center"/>
    </xf>
    <xf numFmtId="0" fontId="0" fillId="35" borderId="0" xfId="0" applyFill="1" applyAlignment="1">
      <alignment horizontal="center"/>
    </xf>
    <xf numFmtId="0" fontId="0" fillId="17" borderId="67" xfId="0" applyFill="1" applyBorder="1" applyAlignment="1">
      <alignment horizontal="center"/>
    </xf>
    <xf numFmtId="0" fontId="0" fillId="17" borderId="66" xfId="0" applyFill="1" applyBorder="1" applyAlignment="1">
      <alignment horizontal="center"/>
    </xf>
    <xf numFmtId="0" fontId="0" fillId="17" borderId="258" xfId="0" applyFill="1" applyBorder="1" applyAlignment="1">
      <alignment horizontal="center"/>
    </xf>
    <xf numFmtId="0" fontId="0" fillId="17" borderId="106" xfId="0" applyFill="1" applyBorder="1" applyAlignment="1">
      <alignment horizontal="center"/>
    </xf>
    <xf numFmtId="0" fontId="0" fillId="17" borderId="198" xfId="0" applyFill="1" applyBorder="1" applyAlignment="1">
      <alignment horizontal="center"/>
    </xf>
    <xf numFmtId="0" fontId="0" fillId="17" borderId="26" xfId="0" applyFill="1" applyBorder="1" applyAlignment="1">
      <alignment horizontal="center"/>
    </xf>
    <xf numFmtId="0" fontId="0" fillId="17" borderId="195" xfId="0" applyFill="1" applyBorder="1" applyAlignment="1">
      <alignment horizontal="center"/>
    </xf>
    <xf numFmtId="0" fontId="0" fillId="17" borderId="21" xfId="0" applyFill="1" applyBorder="1" applyAlignment="1">
      <alignment horizontal="center"/>
    </xf>
    <xf numFmtId="0" fontId="2" fillId="0" borderId="9" xfId="0" quotePrefix="1" applyFont="1" applyBorder="1" applyAlignment="1">
      <alignment horizontal="center" wrapText="1"/>
    </xf>
    <xf numFmtId="0" fontId="2" fillId="0" borderId="10" xfId="0" quotePrefix="1" applyFont="1" applyBorder="1" applyAlignment="1">
      <alignment horizontal="center" wrapText="1"/>
    </xf>
    <xf numFmtId="0" fontId="2" fillId="0" borderId="125" xfId="0" quotePrefix="1" applyFont="1" applyBorder="1" applyAlignment="1">
      <alignment horizontal="center" wrapText="1"/>
    </xf>
    <xf numFmtId="0" fontId="2" fillId="0" borderId="15" xfId="0" quotePrefix="1" applyFont="1" applyBorder="1" applyAlignment="1">
      <alignment horizontal="center" wrapText="1"/>
    </xf>
    <xf numFmtId="0" fontId="0" fillId="16" borderId="252" xfId="0" applyFill="1" applyBorder="1" applyAlignment="1">
      <alignment horizontal="center"/>
    </xf>
    <xf numFmtId="0" fontId="0" fillId="0" borderId="64" xfId="0" applyBorder="1" applyAlignment="1">
      <alignment horizontal="center" vertical="center" wrapText="1"/>
    </xf>
    <xf numFmtId="0" fontId="0" fillId="0" borderId="114" xfId="0" applyBorder="1" applyAlignment="1">
      <alignment horizontal="center" vertical="center" wrapText="1"/>
    </xf>
    <xf numFmtId="0" fontId="0" fillId="0" borderId="9" xfId="0" applyBorder="1" applyAlignment="1">
      <alignment horizontal="center" vertical="center" wrapText="1"/>
    </xf>
    <xf numFmtId="0" fontId="0" fillId="28" borderId="26" xfId="0" applyFill="1" applyBorder="1" applyAlignment="1">
      <alignment horizontal="center"/>
    </xf>
    <xf numFmtId="0" fontId="0" fillId="0" borderId="232" xfId="0" applyBorder="1" applyAlignment="1">
      <alignment horizontal="center"/>
    </xf>
    <xf numFmtId="0" fontId="0" fillId="0" borderId="292" xfId="0" applyBorder="1" applyAlignment="1">
      <alignment horizontal="center"/>
    </xf>
    <xf numFmtId="0" fontId="0" fillId="0" borderId="91" xfId="0" applyBorder="1" applyAlignment="1">
      <alignment horizontal="center" vertical="center"/>
    </xf>
    <xf numFmtId="0" fontId="0" fillId="0" borderId="7" xfId="0" applyBorder="1" applyAlignment="1">
      <alignment horizontal="center" vertical="center"/>
    </xf>
    <xf numFmtId="0" fontId="0" fillId="0" borderId="265" xfId="0" applyBorder="1" applyAlignment="1">
      <alignment horizontal="center" vertical="center"/>
    </xf>
    <xf numFmtId="0" fontId="0" fillId="0" borderId="119" xfId="0" applyBorder="1" applyAlignment="1">
      <alignment horizontal="center" vertical="center"/>
    </xf>
    <xf numFmtId="0" fontId="0" fillId="0" borderId="277" xfId="0" applyBorder="1" applyAlignment="1">
      <alignment horizontal="center"/>
    </xf>
    <xf numFmtId="0" fontId="0" fillId="0" borderId="278" xfId="0" applyBorder="1" applyAlignment="1">
      <alignment horizontal="center"/>
    </xf>
    <xf numFmtId="0" fontId="0" fillId="0" borderId="91" xfId="0" applyBorder="1" applyAlignment="1">
      <alignment horizontal="center"/>
    </xf>
    <xf numFmtId="0" fontId="0" fillId="0" borderId="7" xfId="0" applyBorder="1" applyAlignment="1">
      <alignment horizontal="center"/>
    </xf>
    <xf numFmtId="0" fontId="0" fillId="0" borderId="204" xfId="0" applyBorder="1" applyAlignment="1">
      <alignment horizontal="center"/>
    </xf>
    <xf numFmtId="0" fontId="0" fillId="0" borderId="83" xfId="0" applyBorder="1" applyAlignment="1">
      <alignment horizontal="center"/>
    </xf>
    <xf numFmtId="0" fontId="0" fillId="0" borderId="205" xfId="0" applyBorder="1" applyAlignment="1">
      <alignment horizontal="center"/>
    </xf>
    <xf numFmtId="0" fontId="0" fillId="0" borderId="11" xfId="0" quotePrefix="1" applyBorder="1" applyAlignment="1">
      <alignment horizontal="center"/>
    </xf>
    <xf numFmtId="0" fontId="0" fillId="28" borderId="27" xfId="0" applyFill="1" applyBorder="1" applyAlignment="1">
      <alignment horizontal="center" vertical="center" wrapText="1"/>
    </xf>
    <xf numFmtId="0" fontId="0" fillId="28" borderId="110" xfId="0" applyFill="1" applyBorder="1" applyAlignment="1">
      <alignment horizontal="center" vertical="center" wrapText="1"/>
    </xf>
    <xf numFmtId="0" fontId="0" fillId="28" borderId="126" xfId="0" applyFill="1" applyBorder="1" applyAlignment="1">
      <alignment horizontal="center" vertical="center" wrapText="1"/>
    </xf>
    <xf numFmtId="0" fontId="0" fillId="28" borderId="64" xfId="0" applyFill="1" applyBorder="1" applyAlignment="1">
      <alignment horizontal="center"/>
    </xf>
    <xf numFmtId="0" fontId="0" fillId="28" borderId="10" xfId="0" applyFill="1" applyBorder="1" applyAlignment="1">
      <alignment horizontal="center"/>
    </xf>
    <xf numFmtId="0" fontId="0" fillId="28" borderId="108" xfId="0" applyFill="1" applyBorder="1" applyAlignment="1">
      <alignment horizontal="center"/>
    </xf>
    <xf numFmtId="0" fontId="0" fillId="0" borderId="88" xfId="0" applyBorder="1" applyAlignment="1">
      <alignment horizontal="center"/>
    </xf>
    <xf numFmtId="0" fontId="0" fillId="0" borderId="286" xfId="0" applyBorder="1" applyAlignment="1">
      <alignment horizontal="center"/>
    </xf>
    <xf numFmtId="0" fontId="0" fillId="0" borderId="295" xfId="0" applyBorder="1" applyAlignment="1">
      <alignment horizontal="center"/>
    </xf>
    <xf numFmtId="0" fontId="0" fillId="0" borderId="296" xfId="0" applyBorder="1" applyAlignment="1">
      <alignment horizontal="center"/>
    </xf>
    <xf numFmtId="0" fontId="0" fillId="0" borderId="297" xfId="0" applyBorder="1" applyAlignment="1">
      <alignment horizontal="center"/>
    </xf>
    <xf numFmtId="168" fontId="0" fillId="0" borderId="26" xfId="0" applyNumberFormat="1" applyBorder="1" applyAlignment="1">
      <alignment horizontal="center"/>
    </xf>
    <xf numFmtId="168" fontId="42" fillId="0" borderId="26" xfId="0" applyNumberFormat="1" applyFont="1" applyBorder="1" applyAlignment="1">
      <alignment horizontal="center"/>
    </xf>
    <xf numFmtId="0" fontId="14" fillId="0" borderId="80" xfId="0" applyFont="1" applyBorder="1" applyAlignment="1">
      <alignment horizontal="center"/>
    </xf>
    <xf numFmtId="0" fontId="14" fillId="0" borderId="35" xfId="0" applyFont="1" applyBorder="1" applyAlignment="1">
      <alignment horizontal="center"/>
    </xf>
    <xf numFmtId="0" fontId="14" fillId="0" borderId="7" xfId="0" applyFont="1" applyBorder="1" applyAlignment="1">
      <alignment horizontal="center"/>
    </xf>
    <xf numFmtId="16" fontId="0" fillId="0" borderId="26" xfId="0" applyNumberFormat="1" applyBorder="1" applyAlignment="1">
      <alignment horizontal="left"/>
    </xf>
    <xf numFmtId="0" fontId="0" fillId="0" borderId="105" xfId="0" applyBorder="1" applyAlignment="1" applyProtection="1">
      <alignment horizontal="center"/>
      <protection hidden="1"/>
    </xf>
    <xf numFmtId="0" fontId="0" fillId="0" borderId="18" xfId="0" applyBorder="1" applyAlignment="1" applyProtection="1">
      <alignment horizontal="center"/>
      <protection hidden="1"/>
    </xf>
    <xf numFmtId="0" fontId="0" fillId="0" borderId="106" xfId="0" applyBorder="1" applyAlignment="1" applyProtection="1">
      <alignment horizontal="center"/>
      <protection hidden="1"/>
    </xf>
    <xf numFmtId="0" fontId="0" fillId="25" borderId="105" xfId="0" applyFill="1" applyBorder="1" applyAlignment="1" applyProtection="1">
      <alignment horizontal="center" vertical="center"/>
      <protection hidden="1"/>
    </xf>
    <xf numFmtId="0" fontId="0" fillId="25" borderId="18" xfId="0" applyFill="1" applyBorder="1" applyAlignment="1" applyProtection="1">
      <alignment horizontal="center" vertical="center"/>
      <protection hidden="1"/>
    </xf>
    <xf numFmtId="0" fontId="0" fillId="25" borderId="106" xfId="0" applyFill="1" applyBorder="1" applyAlignment="1" applyProtection="1">
      <alignment horizontal="center" vertical="center"/>
      <protection hidden="1"/>
    </xf>
    <xf numFmtId="0" fontId="0" fillId="24" borderId="18" xfId="0" applyFill="1" applyBorder="1" applyAlignment="1" applyProtection="1">
      <alignment horizontal="center" vertical="center"/>
      <protection hidden="1"/>
    </xf>
    <xf numFmtId="0" fontId="0" fillId="24" borderId="106" xfId="0" applyFill="1" applyBorder="1" applyAlignment="1" applyProtection="1">
      <alignment horizontal="center" vertical="center"/>
      <protection hidden="1"/>
    </xf>
    <xf numFmtId="0" fontId="0" fillId="0" borderId="112" xfId="0" applyBorder="1" applyAlignment="1" applyProtection="1">
      <alignment horizontal="center"/>
      <protection hidden="1"/>
    </xf>
    <xf numFmtId="0" fontId="0" fillId="0" borderId="114" xfId="0" applyBorder="1" applyAlignment="1" applyProtection="1">
      <alignment horizontal="center"/>
      <protection hidden="1"/>
    </xf>
    <xf numFmtId="0" fontId="0" fillId="0" borderId="118" xfId="0" applyBorder="1" applyAlignment="1" applyProtection="1">
      <alignment horizontal="center"/>
      <protection hidden="1"/>
    </xf>
  </cellXfs>
  <cellStyles count="2">
    <cellStyle name="Link" xfId="1" builtinId="8"/>
    <cellStyle name="Standard" xfId="0" builtinId="0"/>
  </cellStyles>
  <dxfs count="193">
    <dxf>
      <font>
        <condense val="0"/>
        <extend val="0"/>
        <color indexed="9"/>
      </font>
      <fill>
        <patternFill patternType="none">
          <bgColor indexed="65"/>
        </patternFill>
      </fill>
      <border>
        <left/>
        <right/>
        <top style="hair">
          <color indexed="64"/>
        </top>
        <bottom/>
      </border>
    </dxf>
    <dxf>
      <border>
        <left style="thin">
          <color auto="1"/>
        </left>
        <right style="thin">
          <color auto="1"/>
        </right>
        <top style="thin">
          <color auto="1"/>
        </top>
        <bottom style="thin">
          <color auto="1"/>
        </bottom>
        <vertical/>
        <horizontal/>
      </border>
    </dxf>
    <dxf>
      <border>
        <bottom style="thin">
          <color theme="1"/>
        </bottom>
        <vertical/>
        <horizontal/>
      </border>
    </dxf>
    <dxf>
      <font>
        <condense val="0"/>
        <extend val="0"/>
        <color indexed="9"/>
      </font>
      <fill>
        <patternFill patternType="none">
          <bgColor indexed="65"/>
        </patternFill>
      </fill>
      <border>
        <left/>
        <right/>
        <top style="hair">
          <color indexed="64"/>
        </top>
        <bottom style="hair">
          <color indexed="64"/>
        </bottom>
      </border>
    </dxf>
    <dxf>
      <font>
        <condense val="0"/>
        <extend val="0"/>
        <color indexed="9"/>
      </font>
      <fill>
        <patternFill patternType="none">
          <bgColor indexed="65"/>
        </patternFill>
      </fill>
      <border>
        <left/>
        <right/>
        <top style="hair">
          <color indexed="64"/>
        </top>
        <bottom style="hair">
          <color indexed="64"/>
        </bottom>
      </border>
    </dxf>
    <dxf>
      <font>
        <condense val="0"/>
        <extend val="0"/>
        <color indexed="9"/>
      </font>
      <fill>
        <patternFill patternType="none">
          <bgColor indexed="65"/>
        </patternFill>
      </fill>
      <border>
        <left/>
        <right/>
        <top style="hair">
          <color indexed="64"/>
        </top>
        <bottom style="hair">
          <color indexed="64"/>
        </bottom>
      </border>
    </dxf>
    <dxf>
      <font>
        <condense val="0"/>
        <extend val="0"/>
        <color indexed="9"/>
      </font>
      <fill>
        <patternFill patternType="none">
          <bgColor indexed="65"/>
        </patternFill>
      </fill>
      <border>
        <left/>
        <right/>
        <top style="hair">
          <color indexed="64"/>
        </top>
        <bottom style="hair">
          <color indexed="64"/>
        </bottom>
      </border>
    </dxf>
    <dxf>
      <font>
        <condense val="0"/>
        <extend val="0"/>
        <color indexed="9"/>
      </font>
      <fill>
        <patternFill patternType="none">
          <bgColor indexed="65"/>
        </patternFill>
      </fill>
      <border>
        <left style="hair">
          <color indexed="64"/>
        </left>
        <right style="hair">
          <color indexed="64"/>
        </right>
        <top style="hair">
          <color indexed="64"/>
        </top>
        <bottom style="thin">
          <color theme="1"/>
        </bottom>
      </border>
    </dxf>
    <dxf>
      <font>
        <condense val="0"/>
        <extend val="0"/>
        <color indexed="9"/>
      </font>
      <fill>
        <patternFill patternType="none">
          <bgColor indexed="65"/>
        </patternFill>
      </fill>
      <border>
        <left/>
        <right/>
        <top style="hair">
          <color indexed="64"/>
        </top>
        <bottom style="hair">
          <color indexed="64"/>
        </bottom>
      </border>
    </dxf>
    <dxf>
      <font>
        <condense val="0"/>
        <extend val="0"/>
        <color indexed="9"/>
      </font>
      <fill>
        <patternFill patternType="none">
          <bgColor indexed="65"/>
        </patternFill>
      </fill>
      <border>
        <left style="hair">
          <color indexed="64"/>
        </left>
        <right style="hair">
          <color indexed="64"/>
        </right>
        <top style="hair">
          <color indexed="64"/>
        </top>
        <bottom style="hair">
          <color indexed="64"/>
        </bottom>
      </border>
    </dxf>
    <dxf>
      <font>
        <condense val="0"/>
        <extend val="0"/>
        <color indexed="9"/>
      </font>
      <fill>
        <patternFill patternType="none">
          <bgColor indexed="65"/>
        </patternFill>
      </fill>
      <border>
        <left style="hair">
          <color indexed="64"/>
        </left>
        <right style="hair">
          <color indexed="64"/>
        </right>
        <top style="thin">
          <color theme="1"/>
        </top>
        <bottom style="hair">
          <color indexed="64"/>
        </bottom>
      </border>
    </dxf>
    <dxf>
      <font>
        <condense val="0"/>
        <extend val="0"/>
        <color indexed="9"/>
      </font>
      <fill>
        <patternFill patternType="none">
          <bgColor indexed="65"/>
        </patternFill>
      </fill>
      <border>
        <left/>
        <right/>
        <top/>
        <bottom style="hair">
          <color indexed="64"/>
        </bottom>
      </border>
    </dxf>
    <dxf>
      <font>
        <condense val="0"/>
        <extend val="0"/>
        <color indexed="9"/>
      </font>
      <fill>
        <patternFill patternType="none">
          <bgColor indexed="65"/>
        </patternFill>
      </fill>
      <border>
        <left style="hair">
          <color indexed="64"/>
        </left>
        <right style="hair">
          <color indexed="64"/>
        </right>
        <top style="hair">
          <color indexed="64"/>
        </top>
        <bottom style="hair">
          <color indexed="64"/>
        </bottom>
      </border>
    </dxf>
    <dxf>
      <font>
        <condense val="0"/>
        <extend val="0"/>
        <color indexed="9"/>
      </font>
      <fill>
        <patternFill patternType="none">
          <bgColor indexed="65"/>
        </patternFill>
      </fill>
      <border>
        <left style="hair">
          <color indexed="64"/>
        </left>
        <right style="hair">
          <color indexed="64"/>
        </right>
        <top style="hair">
          <color indexed="64"/>
        </top>
        <bottom style="hair">
          <color indexed="64"/>
        </bottom>
      </border>
    </dxf>
    <dxf>
      <font>
        <condense val="0"/>
        <extend val="0"/>
        <color indexed="9"/>
      </font>
      <fill>
        <patternFill patternType="none">
          <bgColor indexed="65"/>
        </patternFill>
      </fill>
      <border>
        <left style="hair">
          <color indexed="64"/>
        </left>
        <right style="hair">
          <color indexed="64"/>
        </right>
        <top style="thin">
          <color indexed="64"/>
        </top>
        <bottom style="hair">
          <color indexed="64"/>
        </bottom>
      </border>
    </dxf>
    <dxf>
      <font>
        <condense val="0"/>
        <extend val="0"/>
        <color indexed="9"/>
      </font>
      <fill>
        <patternFill patternType="none">
          <bgColor indexed="65"/>
        </patternFill>
      </fill>
      <border>
        <left style="hair">
          <color indexed="64"/>
        </left>
        <right style="hair">
          <color indexed="64"/>
        </right>
        <top style="thin">
          <color indexed="64"/>
        </top>
        <bottom style="hair">
          <color indexed="64"/>
        </bottom>
      </border>
    </dxf>
    <dxf>
      <font>
        <condense val="0"/>
        <extend val="0"/>
        <color indexed="9"/>
      </font>
      <fill>
        <patternFill patternType="none">
          <bgColor indexed="65"/>
        </patternFill>
      </fill>
      <border>
        <left style="hair">
          <color indexed="64"/>
        </left>
        <right style="hair">
          <color indexed="64"/>
        </right>
        <top style="hair">
          <color indexed="64"/>
        </top>
        <bottom style="thin">
          <color indexed="64"/>
        </bottom>
      </border>
    </dxf>
    <dxf>
      <font>
        <condense val="0"/>
        <extend val="0"/>
        <color indexed="9"/>
      </font>
      <fill>
        <patternFill patternType="none">
          <bgColor indexed="65"/>
        </patternFill>
      </fill>
      <border>
        <left style="hair">
          <color indexed="64"/>
        </left>
        <right style="hair">
          <color indexed="64"/>
        </right>
        <top style="hair">
          <color indexed="64"/>
        </top>
        <bottom style="hair">
          <color indexed="64"/>
        </bottom>
      </border>
    </dxf>
    <dxf>
      <font>
        <condense val="0"/>
        <extend val="0"/>
        <color indexed="39"/>
      </font>
      <fill>
        <patternFill>
          <bgColor indexed="10"/>
        </patternFill>
      </fill>
    </dxf>
    <dxf>
      <font>
        <condense val="0"/>
        <extend val="0"/>
        <color indexed="39"/>
      </font>
      <fill>
        <patternFill>
          <bgColor indexed="10"/>
        </patternFill>
      </fill>
    </dxf>
    <dxf>
      <font>
        <condense val="0"/>
        <extend val="0"/>
        <color indexed="9"/>
      </font>
      <fill>
        <patternFill patternType="none">
          <bgColor indexed="65"/>
        </patternFill>
      </fill>
      <border>
        <left style="hair">
          <color indexed="64"/>
        </left>
        <right/>
        <top style="hair">
          <color indexed="64"/>
        </top>
        <bottom style="hair">
          <color indexed="64"/>
        </bottom>
      </border>
    </dxf>
    <dxf>
      <font>
        <condense val="0"/>
        <extend val="0"/>
        <color indexed="9"/>
      </font>
      <fill>
        <patternFill patternType="none">
          <bgColor indexed="65"/>
        </patternFill>
      </fill>
      <border>
        <left style="hair">
          <color indexed="64"/>
        </left>
        <right style="hair">
          <color indexed="64"/>
        </right>
        <top style="hair">
          <color indexed="64"/>
        </top>
        <bottom style="hair">
          <color indexed="64"/>
        </bottom>
      </border>
    </dxf>
    <dxf>
      <font>
        <condense val="0"/>
        <extend val="0"/>
        <color indexed="9"/>
      </font>
      <fill>
        <patternFill patternType="none">
          <bgColor indexed="65"/>
        </patternFill>
      </fill>
      <border>
        <left style="hair">
          <color indexed="64"/>
        </left>
        <right style="hair">
          <color indexed="64"/>
        </right>
        <top style="thin">
          <color indexed="64"/>
        </top>
        <bottom style="hair">
          <color indexed="64"/>
        </bottom>
      </border>
    </dxf>
    <dxf>
      <font>
        <condense val="0"/>
        <extend val="0"/>
        <color indexed="9"/>
      </font>
      <fill>
        <patternFill patternType="none">
          <bgColor indexed="65"/>
        </patternFill>
      </fill>
      <border>
        <left style="hair">
          <color indexed="64"/>
        </left>
        <right style="hair">
          <color indexed="64"/>
        </right>
        <top style="hair">
          <color indexed="64"/>
        </top>
        <bottom style="hair">
          <color indexed="64"/>
        </bottom>
      </border>
    </dxf>
    <dxf>
      <font>
        <condense val="0"/>
        <extend val="0"/>
        <color indexed="9"/>
      </font>
      <fill>
        <patternFill patternType="none">
          <bgColor indexed="65"/>
        </patternFill>
      </fill>
      <border>
        <left style="hair">
          <color indexed="64"/>
        </left>
        <right style="hair">
          <color indexed="64"/>
        </right>
        <top style="hair">
          <color indexed="64"/>
        </top>
        <bottom style="hair">
          <color indexed="64"/>
        </bottom>
      </border>
    </dxf>
    <dxf>
      <font>
        <condense val="0"/>
        <extend val="0"/>
        <color indexed="9"/>
      </font>
      <fill>
        <patternFill patternType="none">
          <bgColor indexed="65"/>
        </patternFill>
      </fill>
      <border>
        <left style="hair">
          <color indexed="64"/>
        </left>
        <right style="hair">
          <color indexed="64"/>
        </right>
        <top style="hair">
          <color indexed="64"/>
        </top>
        <bottom style="hair">
          <color indexed="64"/>
        </bottom>
      </border>
    </dxf>
    <dxf>
      <font>
        <condense val="0"/>
        <extend val="0"/>
        <color indexed="9"/>
      </font>
      <fill>
        <patternFill patternType="none">
          <bgColor indexed="65"/>
        </patternFill>
      </fill>
      <border>
        <left style="hair">
          <color indexed="64"/>
        </left>
        <right style="hair">
          <color indexed="64"/>
        </right>
        <top style="hair">
          <color indexed="64"/>
        </top>
        <bottom style="hair">
          <color indexed="64"/>
        </bottom>
      </border>
    </dxf>
    <dxf>
      <font>
        <condense val="0"/>
        <extend val="0"/>
        <color indexed="9"/>
      </font>
      <fill>
        <patternFill patternType="none">
          <bgColor indexed="65"/>
        </patternFill>
      </fill>
      <border>
        <left style="hair">
          <color indexed="64"/>
        </left>
        <right style="hair">
          <color indexed="64"/>
        </right>
        <top style="hair">
          <color indexed="64"/>
        </top>
        <bottom style="hair">
          <color indexed="64"/>
        </bottom>
      </border>
    </dxf>
    <dxf>
      <font>
        <condense val="0"/>
        <extend val="0"/>
        <color indexed="9"/>
      </font>
      <fill>
        <patternFill patternType="none">
          <bgColor indexed="65"/>
        </patternFill>
      </fill>
      <border>
        <left style="hair">
          <color indexed="64"/>
        </left>
        <right style="hair">
          <color indexed="64"/>
        </right>
        <top style="hair">
          <color theme="1"/>
        </top>
        <bottom style="thin">
          <color theme="1"/>
        </bottom>
      </border>
    </dxf>
    <dxf>
      <font>
        <condense val="0"/>
        <extend val="0"/>
        <color indexed="9"/>
      </font>
      <fill>
        <patternFill patternType="none">
          <bgColor indexed="65"/>
        </patternFill>
      </fill>
      <border>
        <left style="hair">
          <color indexed="64"/>
        </left>
        <right style="hair">
          <color indexed="64"/>
        </right>
        <top style="hair">
          <color indexed="64"/>
        </top>
        <bottom style="hair">
          <color indexed="64"/>
        </bottom>
      </border>
    </dxf>
    <dxf>
      <font>
        <condense val="0"/>
        <extend val="0"/>
        <color indexed="9"/>
      </font>
      <fill>
        <patternFill patternType="none">
          <bgColor indexed="65"/>
        </patternFill>
      </fill>
      <border>
        <left/>
        <right/>
        <top style="hair">
          <color indexed="64"/>
        </top>
        <bottom style="hair">
          <color indexed="64"/>
        </bottom>
      </border>
    </dxf>
    <dxf>
      <font>
        <condense val="0"/>
        <extend val="0"/>
        <color indexed="9"/>
      </font>
      <fill>
        <patternFill patternType="none">
          <bgColor indexed="65"/>
        </patternFill>
      </fill>
      <border>
        <left style="hair">
          <color indexed="64"/>
        </left>
        <right style="hair">
          <color indexed="64"/>
        </right>
        <top style="thin">
          <color indexed="64"/>
        </top>
        <bottom style="hair">
          <color indexed="64"/>
        </bottom>
      </border>
    </dxf>
    <dxf>
      <font>
        <condense val="0"/>
        <extend val="0"/>
        <color indexed="9"/>
      </font>
      <fill>
        <patternFill patternType="none">
          <bgColor indexed="65"/>
        </patternFill>
      </fill>
      <border>
        <left style="hair">
          <color indexed="64"/>
        </left>
        <right style="hair">
          <color indexed="64"/>
        </right>
        <top style="thin">
          <color indexed="64"/>
        </top>
        <bottom style="hair">
          <color indexed="64"/>
        </bottom>
      </border>
    </dxf>
    <dxf>
      <font>
        <condense val="0"/>
        <extend val="0"/>
        <color indexed="9"/>
      </font>
      <fill>
        <patternFill patternType="none">
          <bgColor indexed="65"/>
        </patternFill>
      </fill>
      <border>
        <left style="hair">
          <color indexed="64"/>
        </left>
        <right style="hair">
          <color indexed="64"/>
        </right>
        <top style="thin">
          <color indexed="64"/>
        </top>
        <bottom style="hair">
          <color indexed="64"/>
        </bottom>
      </border>
    </dxf>
    <dxf>
      <font>
        <condense val="0"/>
        <extend val="0"/>
        <color indexed="9"/>
      </font>
      <fill>
        <patternFill patternType="none">
          <bgColor indexed="65"/>
        </patternFill>
      </fill>
      <border>
        <left style="hair">
          <color indexed="64"/>
        </left>
        <right style="hair">
          <color indexed="64"/>
        </right>
        <top style="thin">
          <color indexed="64"/>
        </top>
        <bottom style="hair">
          <color indexed="64"/>
        </bottom>
      </border>
    </dxf>
    <dxf>
      <border>
        <bottom style="thin">
          <color theme="1"/>
        </bottom>
        <vertical/>
        <horizontal/>
      </border>
    </dxf>
    <dxf>
      <font>
        <condense val="0"/>
        <extend val="0"/>
        <color indexed="9"/>
      </font>
      <fill>
        <patternFill patternType="none">
          <bgColor indexed="65"/>
        </patternFill>
      </fill>
      <border>
        <left style="hair">
          <color indexed="64"/>
        </left>
        <right style="hair">
          <color indexed="64"/>
        </right>
        <top style="hair">
          <color indexed="64"/>
        </top>
        <bottom style="hair">
          <color indexed="64"/>
        </bottom>
      </border>
    </dxf>
    <dxf>
      <border>
        <left style="thin">
          <color auto="1"/>
        </left>
        <right style="thin">
          <color auto="1"/>
        </right>
        <top style="thin">
          <color theme="1"/>
        </top>
        <bottom style="thin">
          <color theme="1"/>
        </bottom>
        <vertical/>
        <horizontal/>
      </border>
    </dxf>
    <dxf>
      <font>
        <condense val="0"/>
        <extend val="0"/>
        <color indexed="26"/>
      </font>
    </dxf>
    <dxf>
      <font>
        <condense val="0"/>
        <extend val="0"/>
        <color indexed="26"/>
      </font>
    </dxf>
    <dxf>
      <font>
        <condense val="0"/>
        <extend val="0"/>
        <color indexed="26"/>
      </font>
    </dxf>
    <dxf>
      <font>
        <condense val="0"/>
        <extend val="0"/>
        <color indexed="26"/>
      </font>
    </dxf>
    <dxf>
      <font>
        <condense val="0"/>
        <extend val="0"/>
        <color indexed="26"/>
      </font>
    </dxf>
    <dxf>
      <font>
        <condense val="0"/>
        <extend val="0"/>
        <color indexed="26"/>
      </font>
    </dxf>
    <dxf>
      <font>
        <condense val="0"/>
        <extend val="0"/>
        <color indexed="26"/>
      </font>
    </dxf>
    <dxf>
      <font>
        <condense val="0"/>
        <extend val="0"/>
        <color indexed="26"/>
      </font>
    </dxf>
    <dxf>
      <font>
        <condense val="0"/>
        <extend val="0"/>
        <color auto="1"/>
      </font>
      <fill>
        <patternFill patternType="none">
          <bgColor indexed="65"/>
        </patternFill>
      </fill>
    </dxf>
    <dxf>
      <font>
        <condense val="0"/>
        <extend val="0"/>
        <color indexed="39"/>
      </font>
      <fill>
        <patternFill>
          <bgColor indexed="10"/>
        </patternFill>
      </fill>
    </dxf>
    <dxf>
      <font>
        <condense val="0"/>
        <extend val="0"/>
        <color indexed="26"/>
      </font>
    </dxf>
    <dxf>
      <font>
        <condense val="0"/>
        <extend val="0"/>
        <color indexed="39"/>
      </font>
      <fill>
        <patternFill>
          <bgColor indexed="39"/>
        </patternFill>
      </fill>
    </dxf>
    <dxf>
      <font>
        <condense val="0"/>
        <extend val="0"/>
        <color indexed="26"/>
      </font>
    </dxf>
    <dxf>
      <font>
        <condense val="0"/>
        <extend val="0"/>
        <color indexed="26"/>
      </font>
    </dxf>
    <dxf>
      <font>
        <condense val="0"/>
        <extend val="0"/>
        <color indexed="10"/>
      </font>
      <fill>
        <patternFill>
          <bgColor indexed="10"/>
        </patternFill>
      </fill>
    </dxf>
    <dxf>
      <font>
        <condense val="0"/>
        <extend val="0"/>
        <color indexed="26"/>
      </font>
    </dxf>
    <dxf>
      <font>
        <condense val="0"/>
        <extend val="0"/>
        <color indexed="26"/>
      </font>
    </dxf>
    <dxf>
      <font>
        <condense val="0"/>
        <extend val="0"/>
        <color indexed="12"/>
      </font>
    </dxf>
    <dxf>
      <font>
        <condense val="0"/>
        <extend val="0"/>
        <color indexed="39"/>
      </font>
      <fill>
        <patternFill>
          <bgColor indexed="10"/>
        </patternFill>
      </fill>
    </dxf>
    <dxf>
      <font>
        <condense val="0"/>
        <extend val="0"/>
        <color indexed="9"/>
      </font>
      <border>
        <left/>
        <right style="thin">
          <color indexed="31"/>
        </right>
        <top style="thin">
          <color indexed="31"/>
        </top>
        <bottom style="thin">
          <color indexed="31"/>
        </bottom>
      </border>
    </dxf>
    <dxf>
      <fill>
        <patternFill>
          <bgColor indexed="27"/>
        </patternFill>
      </fill>
    </dxf>
    <dxf>
      <font>
        <condense val="0"/>
        <extend val="0"/>
        <color indexed="39"/>
      </font>
      <fill>
        <patternFill>
          <bgColor indexed="10"/>
        </patternFill>
      </fill>
    </dxf>
    <dxf>
      <font>
        <condense val="0"/>
        <extend val="0"/>
        <color indexed="31"/>
      </font>
      <border>
        <left/>
        <right style="thin">
          <color indexed="31"/>
        </right>
        <top style="thin">
          <color indexed="31"/>
        </top>
        <bottom style="thin">
          <color indexed="31"/>
        </bottom>
      </border>
    </dxf>
    <dxf>
      <font>
        <condense val="0"/>
        <extend val="0"/>
        <color indexed="39"/>
      </font>
      <fill>
        <patternFill>
          <bgColor indexed="10"/>
        </patternFill>
      </fill>
    </dxf>
    <dxf>
      <font>
        <condense val="0"/>
        <extend val="0"/>
        <color indexed="31"/>
      </font>
    </dxf>
    <dxf>
      <font>
        <condense val="0"/>
        <extend val="0"/>
        <color indexed="26"/>
      </font>
    </dxf>
    <dxf>
      <font>
        <condense val="0"/>
        <extend val="0"/>
        <color auto="1"/>
      </font>
      <fill>
        <patternFill>
          <bgColor indexed="8"/>
        </patternFill>
      </fill>
    </dxf>
    <dxf>
      <font>
        <condense val="0"/>
        <extend val="0"/>
        <color indexed="26"/>
      </font>
    </dxf>
    <dxf>
      <font>
        <condense val="0"/>
        <extend val="0"/>
        <color indexed="39"/>
      </font>
      <fill>
        <patternFill>
          <bgColor indexed="10"/>
        </patternFill>
      </fill>
    </dxf>
    <dxf>
      <font>
        <condense val="0"/>
        <extend val="0"/>
        <color indexed="12"/>
      </font>
    </dxf>
    <dxf>
      <font>
        <b val="0"/>
        <i val="0"/>
        <condense val="0"/>
        <extend val="0"/>
        <color indexed="12"/>
      </font>
      <fill>
        <patternFill>
          <bgColor indexed="10"/>
        </patternFill>
      </fill>
    </dxf>
    <dxf>
      <font>
        <color rgb="FF0053FA"/>
      </font>
      <fill>
        <patternFill>
          <fgColor rgb="FFFF0000"/>
          <bgColor rgb="FFFF0000"/>
        </patternFill>
      </fill>
    </dxf>
    <dxf>
      <font>
        <condense val="0"/>
        <extend val="0"/>
        <color indexed="12"/>
      </font>
      <fill>
        <patternFill>
          <bgColor indexed="10"/>
        </patternFill>
      </fill>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ndense val="0"/>
        <extend val="0"/>
        <color auto="1"/>
      </font>
      <fill>
        <patternFill patternType="none">
          <bgColor indexed="65"/>
        </patternFill>
      </fill>
    </dxf>
    <dxf>
      <font>
        <condense val="0"/>
        <extend val="0"/>
        <color indexed="39"/>
      </font>
      <fill>
        <patternFill>
          <bgColor indexed="10"/>
        </patternFill>
      </fill>
    </dxf>
    <dxf>
      <font>
        <condense val="0"/>
        <extend val="0"/>
        <color indexed="39"/>
      </font>
      <fill>
        <patternFill>
          <bgColor indexed="10"/>
        </patternFill>
      </fill>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ndense val="0"/>
        <extend val="0"/>
        <color indexed="39"/>
      </font>
      <fill>
        <patternFill>
          <bgColor indexed="10"/>
        </patternFill>
      </fill>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ndense val="0"/>
        <extend val="0"/>
        <color indexed="26"/>
      </font>
    </dxf>
    <dxf>
      <font>
        <condense val="0"/>
        <extend val="0"/>
        <color indexed="26"/>
      </font>
    </dxf>
    <dxf>
      <font>
        <color rgb="FF0053FA"/>
      </font>
      <fill>
        <patternFill>
          <bgColor rgb="FFFF0000"/>
        </patternFill>
      </fill>
    </dxf>
    <dxf>
      <font>
        <condense val="0"/>
        <extend val="0"/>
        <color indexed="31"/>
      </font>
      <border>
        <left/>
        <right style="thin">
          <color indexed="31"/>
        </right>
        <top style="thin">
          <color indexed="31"/>
        </top>
        <bottom style="thin">
          <color indexed="31"/>
        </bottom>
      </border>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ndense val="0"/>
        <extend val="0"/>
        <color indexed="26"/>
      </font>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ndense val="0"/>
        <extend val="0"/>
        <color indexed="26"/>
      </font>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ndense val="0"/>
        <extend val="0"/>
        <color indexed="26"/>
      </font>
    </dxf>
    <dxf>
      <font>
        <condense val="0"/>
        <extend val="0"/>
        <color indexed="26"/>
      </font>
    </dxf>
    <dxf>
      <font>
        <condense val="0"/>
        <extend val="0"/>
        <color indexed="26"/>
      </font>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lor theme="0"/>
      </font>
      <fill>
        <patternFill>
          <bgColor theme="0"/>
        </patternFill>
      </fill>
      <border>
        <right/>
        <bottom/>
      </border>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lor theme="4" tint="0.59996337778862885"/>
      </font>
      <border>
        <left style="thin">
          <color theme="4" tint="0.59996337778862885"/>
        </left>
        <right style="thin">
          <color theme="4" tint="0.59996337778862885"/>
        </right>
        <top style="thin">
          <color theme="4" tint="0.59996337778862885"/>
        </top>
        <bottom style="thin">
          <color theme="4" tint="0.59996337778862885"/>
        </bottom>
      </border>
    </dxf>
    <dxf>
      <font>
        <condense val="0"/>
        <extend val="0"/>
        <color auto="1"/>
      </font>
      <fill>
        <patternFill patternType="none">
          <bgColor indexed="65"/>
        </patternFill>
      </fill>
    </dxf>
    <dxf>
      <font>
        <color rgb="FF0053FA"/>
      </font>
      <fill>
        <patternFill>
          <bgColor rgb="FFFF0000"/>
        </patternFill>
      </fill>
    </dxf>
    <dxf>
      <font>
        <color rgb="FF0053FA"/>
      </font>
      <fill>
        <patternFill>
          <bgColor rgb="FFFF0000"/>
        </patternFill>
      </fill>
    </dxf>
    <dxf>
      <font>
        <condense val="0"/>
        <extend val="0"/>
        <color indexed="31"/>
      </font>
      <border>
        <left/>
        <right style="thin">
          <color indexed="31"/>
        </right>
        <top style="thin">
          <color indexed="31"/>
        </top>
        <bottom style="thin">
          <color indexed="31"/>
        </bottom>
      </border>
    </dxf>
    <dxf>
      <font>
        <condense val="0"/>
        <extend val="0"/>
        <color indexed="26"/>
      </font>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ndense val="0"/>
        <extend val="0"/>
        <color indexed="39"/>
      </font>
      <fill>
        <patternFill>
          <bgColor indexed="10"/>
        </patternFill>
      </fill>
    </dxf>
    <dxf>
      <font>
        <condense val="0"/>
        <extend val="0"/>
        <color indexed="12"/>
      </font>
    </dxf>
    <dxf>
      <font>
        <condense val="0"/>
        <extend val="0"/>
        <color indexed="9"/>
      </font>
      <border>
        <left/>
        <right style="thin">
          <color indexed="31"/>
        </right>
        <top style="thin">
          <color indexed="31"/>
        </top>
        <bottom style="thin">
          <color indexed="31"/>
        </bottom>
      </border>
    </dxf>
    <dxf>
      <font>
        <color rgb="FF0053FA"/>
      </font>
      <fill>
        <patternFill>
          <bgColor rgb="FFFF0000"/>
        </patternFill>
      </fill>
    </dxf>
    <dxf>
      <font>
        <color theme="4" tint="0.59996337778862885"/>
      </font>
      <border>
        <left style="thin">
          <color theme="4" tint="0.59996337778862885"/>
        </left>
        <right style="thin">
          <color theme="4" tint="0.59996337778862885"/>
        </right>
        <top style="thin">
          <color theme="4" tint="0.59996337778862885"/>
        </top>
        <bottom style="thin">
          <color theme="4" tint="0.59996337778862885"/>
        </bottom>
        <vertical/>
        <horizontal/>
      </border>
    </dxf>
    <dxf>
      <font>
        <condense val="0"/>
        <extend val="0"/>
        <color indexed="31"/>
      </font>
      <border>
        <left/>
        <right style="thin">
          <color indexed="31"/>
        </right>
        <top style="thin">
          <color indexed="31"/>
        </top>
        <bottom style="thin">
          <color indexed="31"/>
        </bottom>
      </border>
    </dxf>
    <dxf>
      <font>
        <condense val="0"/>
        <extend val="0"/>
        <color indexed="31"/>
      </font>
      <border>
        <left/>
        <right style="thin">
          <color indexed="31"/>
        </right>
        <top style="thin">
          <color indexed="31"/>
        </top>
        <bottom style="thin">
          <color indexed="31"/>
        </bottom>
      </border>
    </dxf>
    <dxf>
      <font>
        <condense val="0"/>
        <extend val="0"/>
        <color indexed="31"/>
      </font>
    </dxf>
    <dxf>
      <font>
        <condense val="0"/>
        <extend val="0"/>
        <color indexed="39"/>
      </font>
      <fill>
        <patternFill>
          <bgColor indexed="10"/>
        </patternFill>
      </fill>
    </dxf>
    <dxf>
      <font>
        <condense val="0"/>
        <extend val="0"/>
        <color auto="1"/>
      </font>
      <fill>
        <patternFill patternType="none">
          <bgColor indexed="65"/>
        </patternFill>
      </fill>
    </dxf>
    <dxf>
      <font>
        <color rgb="FF0053FA"/>
      </font>
      <fill>
        <patternFill>
          <bgColor rgb="FFFF0000"/>
        </patternFill>
      </fill>
    </dxf>
    <dxf>
      <font>
        <condense val="0"/>
        <extend val="0"/>
        <color indexed="39"/>
      </font>
      <fill>
        <patternFill>
          <bgColor indexed="10"/>
        </patternFill>
      </fill>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ndense val="0"/>
        <extend val="0"/>
        <color indexed="26"/>
      </font>
    </dxf>
    <dxf>
      <font>
        <color rgb="FFFFFF00"/>
      </font>
    </dxf>
    <dxf>
      <font>
        <color rgb="FF51DA1A"/>
      </font>
    </dxf>
    <dxf>
      <font>
        <color rgb="FFFFFF00"/>
      </font>
    </dxf>
    <dxf>
      <font>
        <color theme="1"/>
      </font>
    </dxf>
    <dxf>
      <font>
        <color rgb="FF51DA1A"/>
      </font>
    </dxf>
    <dxf>
      <font>
        <condense val="0"/>
        <extend val="0"/>
        <color auto="1"/>
      </font>
      <fill>
        <patternFill>
          <bgColor indexed="8"/>
        </patternFill>
      </fill>
    </dxf>
    <dxf>
      <font>
        <color rgb="FF0053FA"/>
      </font>
      <fill>
        <patternFill>
          <bgColor rgb="FFFF0000"/>
        </patternFill>
      </fill>
    </dxf>
    <dxf>
      <font>
        <condense val="0"/>
        <extend val="0"/>
        <color indexed="12"/>
      </font>
      <fill>
        <patternFill>
          <bgColor indexed="10"/>
        </patternFill>
      </fill>
    </dxf>
    <dxf>
      <font>
        <condense val="0"/>
        <extend val="0"/>
        <color indexed="26"/>
      </font>
    </dxf>
    <dxf>
      <font>
        <condense val="0"/>
        <extend val="0"/>
        <color indexed="12"/>
      </font>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lor rgb="FF0053FA"/>
      </font>
      <fill>
        <patternFill>
          <bgColor rgb="FFFF0000"/>
        </patternFill>
      </fill>
    </dxf>
    <dxf>
      <font>
        <condense val="0"/>
        <extend val="0"/>
        <color auto="1"/>
      </font>
      <fill>
        <patternFill>
          <bgColor indexed="8"/>
        </patternFill>
      </fill>
    </dxf>
    <dxf>
      <font>
        <color rgb="FF0053FA"/>
      </font>
      <fill>
        <patternFill>
          <bgColor rgb="FFFF0000"/>
        </patternFill>
      </fill>
    </dxf>
    <dxf>
      <font>
        <color rgb="FF0053FA"/>
      </font>
      <fill>
        <patternFill>
          <bgColor rgb="FFFF0000"/>
        </patternFill>
      </fill>
    </dxf>
    <dxf>
      <font>
        <color rgb="FF0053FA"/>
      </font>
      <fill>
        <patternFill>
          <bgColor rgb="FFFF0000"/>
        </patternFill>
      </fill>
    </dxf>
  </dxfs>
  <tableStyles count="0" defaultTableStyle="TableStyleMedium2" defaultPivotStyle="PivotStyleLight16"/>
  <colors>
    <mruColors>
      <color rgb="FF0000FF"/>
      <color rgb="FFB4C6E7"/>
      <color rgb="FF3366FF"/>
      <color rgb="FFCCFFFF"/>
      <color rgb="FF972907"/>
      <color rgb="FFB04808"/>
      <color rgb="FFB84B08"/>
      <color rgb="FFC45008"/>
      <color rgb="FFC83C04"/>
      <color rgb="FFBF16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oneCell">
    <xdr:from>
      <xdr:col>16</xdr:col>
      <xdr:colOff>0</xdr:colOff>
      <xdr:row>12</xdr:row>
      <xdr:rowOff>0</xdr:rowOff>
    </xdr:from>
    <xdr:to>
      <xdr:col>16</xdr:col>
      <xdr:colOff>304800</xdr:colOff>
      <xdr:row>13</xdr:row>
      <xdr:rowOff>133350</xdr:rowOff>
    </xdr:to>
    <xdr:sp macro="" textlink="">
      <xdr:nvSpPr>
        <xdr:cNvPr id="8193" name="AutoShape 1" descr="Bildergebnis für brick red">
          <a:extLst>
            <a:ext uri="{FF2B5EF4-FFF2-40B4-BE49-F238E27FC236}">
              <a16:creationId xmlns:a16="http://schemas.microsoft.com/office/drawing/2014/main" id="{00000000-0008-0000-0400-000001200000}"/>
            </a:ext>
          </a:extLst>
        </xdr:cNvPr>
        <xdr:cNvSpPr>
          <a:spLocks noChangeAspect="1" noChangeArrowheads="1"/>
        </xdr:cNvSpPr>
      </xdr:nvSpPr>
      <xdr:spPr bwMode="auto">
        <a:xfrm>
          <a:off x="9725025" y="18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ibm.com/docs/en/ts4300-tape-library?topic=overview-structure-supported-library-configurations"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en.wikipedia.org/wiki/Linear_Tape-Open" TargetMode="External"/><Relationship Id="rId1" Type="http://schemas.openxmlformats.org/officeDocument/2006/relationships/hyperlink" Target="https://de.wikipedia.org/wiki/Linear_Tape_Open" TargetMode="External"/><Relationship Id="rId4"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R27"/>
  <sheetViews>
    <sheetView tabSelected="1" workbookViewId="0"/>
  </sheetViews>
  <sheetFormatPr baseColWidth="10" defaultColWidth="8.84375" defaultRowHeight="12.45"/>
  <cols>
    <col min="3" max="3" width="10.4609375" customWidth="1"/>
    <col min="6" max="6" width="16.07421875" customWidth="1"/>
    <col min="7" max="12" width="5.69140625" customWidth="1"/>
    <col min="13" max="13" width="7.4609375" customWidth="1"/>
    <col min="14" max="14" width="5.69140625" customWidth="1"/>
  </cols>
  <sheetData>
    <row r="1" spans="1:18">
      <c r="A1" s="10"/>
      <c r="B1" s="10"/>
      <c r="C1" s="10"/>
      <c r="D1" s="10"/>
      <c r="E1" s="10"/>
      <c r="F1" s="10"/>
      <c r="G1" s="10"/>
      <c r="H1" s="10"/>
      <c r="I1" s="10"/>
      <c r="J1" s="10"/>
      <c r="K1" s="10"/>
      <c r="L1" s="10"/>
      <c r="M1" s="10"/>
      <c r="N1" s="10"/>
      <c r="O1" s="10"/>
      <c r="P1" s="10"/>
      <c r="Q1" s="10"/>
      <c r="R1" s="10"/>
    </row>
    <row r="2" spans="1:18">
      <c r="A2" s="10"/>
      <c r="B2" s="10"/>
      <c r="C2" s="10"/>
      <c r="D2" s="10"/>
      <c r="E2" s="10"/>
      <c r="F2" s="10"/>
      <c r="G2" s="10"/>
      <c r="H2" s="10"/>
      <c r="I2" s="10"/>
      <c r="J2" s="10"/>
      <c r="K2" s="10"/>
      <c r="L2" s="10"/>
      <c r="M2" s="10"/>
      <c r="N2" s="10"/>
      <c r="O2" s="10"/>
      <c r="P2" s="10"/>
      <c r="Q2" s="10"/>
      <c r="R2" s="10"/>
    </row>
    <row r="3" spans="1:18">
      <c r="A3" s="363"/>
      <c r="B3" s="363"/>
      <c r="C3" s="363"/>
      <c r="D3" s="363"/>
      <c r="E3" s="363"/>
      <c r="F3" s="363"/>
      <c r="G3" s="363"/>
      <c r="H3" s="363"/>
      <c r="I3" s="363"/>
      <c r="J3" s="363"/>
      <c r="K3" s="363"/>
      <c r="L3" s="363"/>
      <c r="M3" s="363"/>
      <c r="N3" s="363"/>
      <c r="O3" s="363"/>
      <c r="P3" s="363"/>
      <c r="Q3" s="363"/>
      <c r="R3" s="10"/>
    </row>
    <row r="4" spans="1:18" ht="27.9" thickBot="1">
      <c r="A4" s="363"/>
      <c r="B4" s="520" t="s">
        <v>625</v>
      </c>
      <c r="C4" s="363"/>
      <c r="D4" s="363"/>
      <c r="E4" s="363"/>
      <c r="F4" s="363"/>
      <c r="G4" s="363"/>
      <c r="H4" s="363"/>
      <c r="I4" s="363"/>
      <c r="J4" s="363"/>
      <c r="K4" s="363"/>
      <c r="L4" s="363"/>
      <c r="M4" s="363"/>
      <c r="N4" s="363"/>
      <c r="O4" s="363"/>
      <c r="P4" s="363"/>
      <c r="Q4" s="363"/>
      <c r="R4" s="10"/>
    </row>
    <row r="5" spans="1:18" ht="13.3" thickTop="1" thickBot="1">
      <c r="A5" s="363"/>
      <c r="B5" s="521" t="s">
        <v>68</v>
      </c>
      <c r="C5" s="363"/>
      <c r="D5" s="536"/>
      <c r="E5" s="363" t="s">
        <v>131</v>
      </c>
      <c r="F5" s="363"/>
      <c r="G5" s="363"/>
      <c r="H5" s="363"/>
      <c r="I5" s="363"/>
      <c r="J5" s="363"/>
      <c r="K5" s="363"/>
      <c r="L5" s="363"/>
      <c r="M5" s="363"/>
      <c r="N5" s="363"/>
      <c r="O5" s="363"/>
      <c r="P5" s="363"/>
      <c r="Q5" s="363"/>
      <c r="R5" s="10"/>
    </row>
    <row r="6" spans="1:18" ht="13.3" thickTop="1" thickBot="1">
      <c r="A6" s="363"/>
      <c r="B6" s="522" t="s">
        <v>69</v>
      </c>
      <c r="C6" s="363"/>
      <c r="D6" s="363"/>
      <c r="E6" s="523"/>
      <c r="F6" s="363"/>
      <c r="G6" s="552" t="s">
        <v>61</v>
      </c>
      <c r="H6" s="553"/>
      <c r="I6" s="553"/>
      <c r="J6" s="553"/>
      <c r="K6" s="537">
        <v>2</v>
      </c>
      <c r="L6" s="537" t="s">
        <v>514</v>
      </c>
      <c r="M6" s="363" t="s">
        <v>537</v>
      </c>
      <c r="N6" s="363"/>
      <c r="O6" s="363"/>
      <c r="P6" s="363"/>
      <c r="Q6" s="363"/>
      <c r="R6" s="10"/>
    </row>
    <row r="7" spans="1:18" ht="13.3" thickTop="1" thickBot="1">
      <c r="A7" s="363"/>
      <c r="B7" s="522"/>
      <c r="C7" s="363"/>
      <c r="D7" s="363"/>
      <c r="E7" s="523"/>
      <c r="F7" s="363"/>
      <c r="G7" s="524"/>
      <c r="H7" s="525"/>
      <c r="I7" s="525"/>
      <c r="J7" s="525"/>
      <c r="K7" s="526"/>
      <c r="L7" s="363"/>
      <c r="M7" s="363"/>
      <c r="N7" s="363"/>
      <c r="O7" s="363"/>
      <c r="P7" s="363"/>
      <c r="Q7" s="363"/>
      <c r="R7" s="10"/>
    </row>
    <row r="8" spans="1:18" ht="13.3" thickTop="1" thickBot="1">
      <c r="A8" s="363"/>
      <c r="B8" s="522" t="s">
        <v>70</v>
      </c>
      <c r="C8" s="363"/>
      <c r="D8" s="363"/>
      <c r="E8" s="363"/>
      <c r="F8" s="363"/>
      <c r="G8" s="552" t="s">
        <v>62</v>
      </c>
      <c r="H8" s="553"/>
      <c r="I8" s="553"/>
      <c r="J8" s="554"/>
      <c r="K8" s="555" t="s">
        <v>345</v>
      </c>
      <c r="L8" s="556"/>
      <c r="M8" s="556"/>
      <c r="N8" s="557"/>
      <c r="O8" s="363"/>
      <c r="P8" s="363"/>
      <c r="Q8" s="363"/>
      <c r="R8" s="10"/>
    </row>
    <row r="9" spans="1:18" ht="13.3" thickTop="1" thickBot="1">
      <c r="A9" s="363"/>
      <c r="B9" s="363"/>
      <c r="C9" s="363"/>
      <c r="D9" s="363"/>
      <c r="E9" s="363"/>
      <c r="F9" s="363"/>
      <c r="G9" s="558" t="s">
        <v>63</v>
      </c>
      <c r="H9" s="553"/>
      <c r="I9" s="553"/>
      <c r="J9" s="554"/>
      <c r="K9" s="555">
        <v>1</v>
      </c>
      <c r="L9" s="556"/>
      <c r="M9" s="556"/>
      <c r="N9" s="557"/>
      <c r="O9" s="363"/>
      <c r="P9" s="363"/>
      <c r="Q9" s="363"/>
      <c r="R9" s="10"/>
    </row>
    <row r="10" spans="1:18" ht="13.3" thickTop="1" thickBot="1">
      <c r="A10" s="363"/>
      <c r="B10" s="363"/>
      <c r="C10" s="363"/>
      <c r="D10" s="363"/>
      <c r="E10" s="363"/>
      <c r="F10" s="363"/>
      <c r="G10" s="552" t="s">
        <v>64</v>
      </c>
      <c r="H10" s="553"/>
      <c r="I10" s="553"/>
      <c r="J10" s="554"/>
      <c r="K10" s="566" t="s">
        <v>25</v>
      </c>
      <c r="L10" s="567"/>
      <c r="M10" s="567"/>
      <c r="N10" s="568"/>
      <c r="O10" s="363"/>
      <c r="P10" s="363"/>
      <c r="Q10" s="363"/>
      <c r="R10" s="10"/>
    </row>
    <row r="11" spans="1:18" ht="13.3" thickTop="1" thickBot="1">
      <c r="A11" s="363"/>
      <c r="B11" s="363"/>
      <c r="C11" s="363"/>
      <c r="D11" s="363"/>
      <c r="E11" s="363"/>
      <c r="F11" s="363"/>
      <c r="G11" s="552" t="s">
        <v>65</v>
      </c>
      <c r="H11" s="553"/>
      <c r="I11" s="553"/>
      <c r="J11" s="554"/>
      <c r="K11" s="555" t="s">
        <v>71</v>
      </c>
      <c r="L11" s="556"/>
      <c r="M11" s="556"/>
      <c r="N11" s="557"/>
      <c r="O11" s="363"/>
      <c r="P11" s="363"/>
      <c r="Q11" s="363"/>
      <c r="R11" s="10"/>
    </row>
    <row r="12" spans="1:18" ht="12.9" thickTop="1">
      <c r="A12" s="363"/>
      <c r="B12" s="527" t="s">
        <v>77</v>
      </c>
      <c r="C12" s="363"/>
      <c r="D12" s="363"/>
      <c r="E12" s="363"/>
      <c r="F12" s="363"/>
      <c r="G12" s="363"/>
      <c r="H12" s="363"/>
      <c r="I12" s="363"/>
      <c r="J12" s="363"/>
      <c r="K12" s="363"/>
      <c r="L12" s="363"/>
      <c r="M12" s="363"/>
      <c r="N12" s="363"/>
      <c r="O12" s="363"/>
      <c r="P12" s="363"/>
      <c r="Q12" s="363"/>
      <c r="R12" s="10"/>
    </row>
    <row r="13" spans="1:18" ht="12.9" thickBot="1">
      <c r="A13" s="363"/>
      <c r="B13" s="363"/>
      <c r="C13" s="363"/>
      <c r="D13" s="363"/>
      <c r="E13" s="363"/>
      <c r="F13" s="363"/>
      <c r="G13" s="363"/>
      <c r="H13" s="363"/>
      <c r="I13" s="363"/>
      <c r="J13" s="363"/>
      <c r="K13" s="363"/>
      <c r="L13" s="363"/>
      <c r="M13" s="363"/>
      <c r="N13" s="363"/>
      <c r="O13" s="363"/>
      <c r="P13" s="363"/>
      <c r="Q13" s="363"/>
      <c r="R13" s="10"/>
    </row>
    <row r="14" spans="1:18" ht="14.6" customHeight="1" thickTop="1" thickBot="1">
      <c r="A14" s="363"/>
      <c r="B14" s="522" t="s">
        <v>538</v>
      </c>
      <c r="C14" s="363"/>
      <c r="D14" s="363"/>
      <c r="E14" s="363"/>
      <c r="F14" s="363"/>
      <c r="G14" s="552" t="s">
        <v>62</v>
      </c>
      <c r="H14" s="553"/>
      <c r="I14" s="553"/>
      <c r="J14" s="554"/>
      <c r="K14" s="538" t="s">
        <v>362</v>
      </c>
      <c r="L14" s="363"/>
      <c r="M14" s="538" t="s">
        <v>362</v>
      </c>
      <c r="N14" s="559" t="s">
        <v>536</v>
      </c>
      <c r="O14" s="560"/>
      <c r="P14" s="560"/>
      <c r="Q14" s="363"/>
      <c r="R14" s="10"/>
    </row>
    <row r="15" spans="1:18" ht="13.3" thickTop="1" thickBot="1">
      <c r="A15" s="363"/>
      <c r="B15" s="363"/>
      <c r="C15" s="363"/>
      <c r="D15" s="363"/>
      <c r="E15" s="363"/>
      <c r="F15" s="363"/>
      <c r="G15" s="558" t="s">
        <v>63</v>
      </c>
      <c r="H15" s="553"/>
      <c r="I15" s="553"/>
      <c r="J15" s="554"/>
      <c r="K15" s="538">
        <v>0</v>
      </c>
      <c r="L15" s="523" t="s">
        <v>130</v>
      </c>
      <c r="M15" s="538">
        <v>0</v>
      </c>
      <c r="N15" s="561"/>
      <c r="O15" s="560"/>
      <c r="P15" s="560"/>
      <c r="Q15" s="363"/>
      <c r="R15" s="10"/>
    </row>
    <row r="16" spans="1:18" ht="31.5" customHeight="1" thickTop="1">
      <c r="A16" s="363"/>
      <c r="B16" s="363"/>
      <c r="C16" s="363"/>
      <c r="D16" s="363"/>
      <c r="E16" s="363"/>
      <c r="F16" s="363"/>
      <c r="G16" s="363"/>
      <c r="H16" s="363"/>
      <c r="I16" s="363"/>
      <c r="J16" s="363"/>
      <c r="K16" s="564"/>
      <c r="L16" s="363"/>
      <c r="M16" s="562" t="s">
        <v>535</v>
      </c>
      <c r="N16" s="561"/>
      <c r="O16" s="560"/>
      <c r="P16" s="560"/>
      <c r="Q16" s="363"/>
      <c r="R16" s="10"/>
    </row>
    <row r="17" spans="1:18" ht="12.9" thickBot="1">
      <c r="A17" s="363"/>
      <c r="B17" s="363"/>
      <c r="C17" s="363"/>
      <c r="D17" s="363"/>
      <c r="E17" s="363"/>
      <c r="F17" s="363"/>
      <c r="G17" s="363"/>
      <c r="H17" s="363"/>
      <c r="I17" s="363"/>
      <c r="J17" s="363"/>
      <c r="K17" s="565"/>
      <c r="L17" s="363"/>
      <c r="M17" s="563"/>
      <c r="N17" s="561"/>
      <c r="O17" s="560"/>
      <c r="P17" s="560"/>
      <c r="Q17" s="363"/>
      <c r="R17" s="10"/>
    </row>
    <row r="18" spans="1:18" ht="12.9" thickTop="1">
      <c r="A18" s="363"/>
      <c r="B18" s="527" t="s">
        <v>77</v>
      </c>
      <c r="C18" s="363"/>
      <c r="D18" s="363"/>
      <c r="E18" s="363"/>
      <c r="F18" s="363"/>
      <c r="G18" s="363"/>
      <c r="H18" s="363"/>
      <c r="I18" s="363"/>
      <c r="J18" s="363"/>
      <c r="K18" s="363"/>
      <c r="L18" s="363"/>
      <c r="M18" s="363"/>
      <c r="N18" s="363"/>
      <c r="O18" s="363"/>
      <c r="P18" s="363"/>
      <c r="Q18" s="363"/>
      <c r="R18" s="10"/>
    </row>
    <row r="19" spans="1:18" ht="12.9" thickBot="1">
      <c r="A19" s="363"/>
      <c r="B19" s="527"/>
      <c r="C19" s="363"/>
      <c r="D19" s="363"/>
      <c r="E19" s="363"/>
      <c r="F19" s="363"/>
      <c r="G19" s="363"/>
      <c r="H19" s="363"/>
      <c r="I19" s="363"/>
      <c r="J19" s="363"/>
      <c r="K19" s="363"/>
      <c r="L19" s="363"/>
      <c r="M19" s="363"/>
      <c r="N19" s="363"/>
      <c r="O19" s="363"/>
      <c r="P19" s="363"/>
      <c r="Q19" s="363"/>
      <c r="R19" s="10"/>
    </row>
    <row r="20" spans="1:18" ht="13.3" thickTop="1" thickBot="1">
      <c r="A20" s="363"/>
      <c r="B20" s="522" t="s">
        <v>72</v>
      </c>
      <c r="C20" s="363"/>
      <c r="D20" s="363"/>
      <c r="E20" s="528"/>
      <c r="F20" s="363" t="s">
        <v>73</v>
      </c>
      <c r="G20" s="363"/>
      <c r="H20" s="363"/>
      <c r="I20" s="363"/>
      <c r="J20" s="363"/>
      <c r="K20" s="363"/>
      <c r="L20" s="363"/>
      <c r="M20" s="363"/>
      <c r="N20" s="363"/>
      <c r="O20" s="363"/>
      <c r="P20" s="363"/>
      <c r="Q20" s="363"/>
      <c r="R20" s="10"/>
    </row>
    <row r="21" spans="1:18" ht="12.9" thickTop="1">
      <c r="A21" s="363"/>
      <c r="B21" s="522"/>
      <c r="C21" s="522" t="s">
        <v>76</v>
      </c>
      <c r="D21" s="363"/>
      <c r="E21" s="363"/>
      <c r="F21" s="363"/>
      <c r="G21" s="363"/>
      <c r="H21" s="363"/>
      <c r="I21" s="363"/>
      <c r="J21" s="363"/>
      <c r="K21" s="363"/>
      <c r="L21" s="363"/>
      <c r="M21" s="363"/>
      <c r="N21" s="363"/>
      <c r="O21" s="363"/>
      <c r="P21" s="363"/>
      <c r="Q21" s="363"/>
      <c r="R21" s="10"/>
    </row>
    <row r="22" spans="1:18">
      <c r="A22" s="363"/>
      <c r="B22" s="363"/>
      <c r="C22" s="522" t="s">
        <v>75</v>
      </c>
      <c r="D22" s="363"/>
      <c r="E22" s="363"/>
      <c r="F22" s="363"/>
      <c r="G22" s="363"/>
      <c r="H22" s="363"/>
      <c r="I22" s="363"/>
      <c r="J22" s="363"/>
      <c r="K22" s="363"/>
      <c r="L22" s="363"/>
      <c r="M22" s="363"/>
      <c r="N22" s="363"/>
      <c r="O22" s="363"/>
      <c r="P22" s="363"/>
      <c r="Q22" s="363"/>
      <c r="R22" s="10"/>
    </row>
    <row r="23" spans="1:18">
      <c r="A23" s="363"/>
      <c r="B23" s="363"/>
      <c r="C23" s="522" t="s">
        <v>74</v>
      </c>
      <c r="D23" s="363"/>
      <c r="E23" s="363"/>
      <c r="F23" s="363"/>
      <c r="G23" s="363"/>
      <c r="H23" s="363"/>
      <c r="I23" s="363"/>
      <c r="J23" s="363"/>
      <c r="K23" s="363"/>
      <c r="L23" s="363"/>
      <c r="M23" s="363"/>
      <c r="N23" s="363"/>
      <c r="O23" s="363"/>
      <c r="P23" s="363"/>
      <c r="Q23" s="363"/>
      <c r="R23" s="10"/>
    </row>
    <row r="24" spans="1:18">
      <c r="A24" s="363"/>
      <c r="B24" s="363"/>
      <c r="C24" s="363"/>
      <c r="D24" s="363"/>
      <c r="E24" s="363"/>
      <c r="F24" s="363"/>
      <c r="G24" s="363"/>
      <c r="H24" s="363"/>
      <c r="I24" s="363"/>
      <c r="J24" s="363"/>
      <c r="K24" s="363"/>
      <c r="L24" s="363"/>
      <c r="M24" s="363"/>
      <c r="N24" s="363"/>
      <c r="O24" s="363"/>
      <c r="P24" s="363"/>
      <c r="Q24" s="363"/>
      <c r="R24" s="10"/>
    </row>
    <row r="25" spans="1:18">
      <c r="A25" s="10"/>
      <c r="B25" s="10"/>
      <c r="C25" s="10"/>
      <c r="D25" s="10"/>
      <c r="E25" s="10"/>
      <c r="F25" s="10"/>
      <c r="G25" s="10"/>
      <c r="H25" s="10"/>
      <c r="I25" s="10"/>
      <c r="J25" s="10"/>
      <c r="K25" s="10"/>
      <c r="L25" s="10"/>
      <c r="M25" s="10"/>
      <c r="N25" s="10"/>
      <c r="O25" s="10"/>
      <c r="P25" s="10"/>
      <c r="Q25" s="10"/>
      <c r="R25" s="10"/>
    </row>
    <row r="26" spans="1:18">
      <c r="A26" s="10"/>
      <c r="B26" s="10"/>
      <c r="C26" s="10"/>
      <c r="D26" s="10"/>
      <c r="E26" s="10"/>
      <c r="F26" s="10"/>
      <c r="G26" s="10"/>
      <c r="H26" s="10"/>
      <c r="I26" s="10"/>
      <c r="J26" s="10"/>
      <c r="K26" s="10"/>
      <c r="L26" s="10"/>
      <c r="M26" s="10"/>
      <c r="N26" s="10"/>
      <c r="O26" s="10"/>
      <c r="P26" s="10"/>
      <c r="Q26" s="10"/>
      <c r="R26" s="10"/>
    </row>
    <row r="27" spans="1:18">
      <c r="A27" s="10"/>
      <c r="B27" s="10"/>
      <c r="C27" s="10"/>
      <c r="D27" s="10"/>
      <c r="E27" s="10"/>
      <c r="F27" s="10"/>
      <c r="G27" s="10"/>
      <c r="H27" s="10"/>
      <c r="I27" s="10"/>
      <c r="J27" s="10"/>
      <c r="K27" s="10"/>
      <c r="L27" s="10"/>
      <c r="M27" s="10"/>
      <c r="N27" s="10"/>
      <c r="O27" s="10"/>
      <c r="P27" s="10"/>
      <c r="Q27" s="10"/>
      <c r="R27" s="10"/>
    </row>
  </sheetData>
  <sheetProtection algorithmName="SHA-512" hashValue="YS+PpWr4P38OVxZMFo6DctUOk+CT2/eQnr2Pz6sVh3jF8uBh0OsJFaQ8PIGQY+H7SUUf+eQY0UlORjpxcRoGhA==" saltValue="UvgnK7Dz762aUx9joRlT7g==" spinCount="100000" sheet="1" objects="1" scenarios="1"/>
  <mergeCells count="14">
    <mergeCell ref="G10:J10"/>
    <mergeCell ref="K10:N10"/>
    <mergeCell ref="G6:J6"/>
    <mergeCell ref="G8:J8"/>
    <mergeCell ref="K8:N8"/>
    <mergeCell ref="G9:J9"/>
    <mergeCell ref="K9:N9"/>
    <mergeCell ref="G11:J11"/>
    <mergeCell ref="K11:N11"/>
    <mergeCell ref="G14:J14"/>
    <mergeCell ref="G15:J15"/>
    <mergeCell ref="N14:P17"/>
    <mergeCell ref="M16:M17"/>
    <mergeCell ref="K16:K17"/>
  </mergeCells>
  <phoneticPr fontId="2" type="noConversion"/>
  <pageMargins left="0.75" right="0.75" top="1" bottom="1" header="0.5" footer="0.5"/>
  <pageSetup orientation="portrait" r:id="rId1"/>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H46"/>
  <sheetViews>
    <sheetView workbookViewId="0"/>
  </sheetViews>
  <sheetFormatPr baseColWidth="10" defaultColWidth="8.84375" defaultRowHeight="12.45"/>
  <cols>
    <col min="1" max="1" width="3.4609375" customWidth="1"/>
    <col min="2" max="2" width="9.3046875" customWidth="1"/>
    <col min="3" max="3" width="5.3046875" customWidth="1"/>
    <col min="4" max="4" width="5.4609375" customWidth="1"/>
    <col min="5" max="5" width="15.3046875" customWidth="1"/>
    <col min="6" max="6" width="6.4609375" customWidth="1"/>
    <col min="7" max="7" width="7" customWidth="1"/>
    <col min="8" max="8" width="5.4609375" customWidth="1"/>
    <col min="9" max="9" width="6.07421875" customWidth="1"/>
    <col min="10" max="10" width="6.69140625" customWidth="1"/>
    <col min="11" max="11" width="6.4609375" customWidth="1"/>
    <col min="12" max="12" width="6.84375" customWidth="1"/>
    <col min="13" max="14" width="7.84375" customWidth="1"/>
    <col min="15" max="15" width="7" customWidth="1"/>
    <col min="16" max="16" width="7.4609375" customWidth="1"/>
    <col min="17" max="18" width="6.3046875" customWidth="1"/>
    <col min="19" max="19" width="5.4609375" customWidth="1"/>
    <col min="20" max="22" width="5.69140625" customWidth="1"/>
    <col min="23" max="23" width="6" customWidth="1"/>
    <col min="24" max="24" width="5.69140625" customWidth="1"/>
    <col min="25" max="25" width="5.84375" customWidth="1"/>
    <col min="26" max="26" width="6.3046875" customWidth="1"/>
    <col min="27" max="27" width="5.3046875" customWidth="1"/>
    <col min="28" max="28" width="5.4609375" customWidth="1"/>
  </cols>
  <sheetData>
    <row r="1" spans="1:30" ht="12.9" thickBot="1">
      <c r="A1" s="10"/>
      <c r="B1" s="10"/>
      <c r="C1" s="10"/>
      <c r="D1" s="10"/>
      <c r="E1" s="10"/>
      <c r="F1" s="298">
        <f ca="1">COUNTIF($F$7:INDIRECT(F2),"HD")</f>
        <v>4</v>
      </c>
      <c r="G1" s="298" t="str">
        <f>H5&amp;"9"</f>
        <v>L9</v>
      </c>
      <c r="H1" s="298">
        <f ca="1">SUM(F9:INDIRECT(G1))</f>
        <v>7</v>
      </c>
      <c r="I1" s="10"/>
      <c r="J1" s="10"/>
      <c r="K1" s="10"/>
      <c r="L1" s="10"/>
      <c r="M1" s="10"/>
      <c r="N1" s="10"/>
      <c r="O1" s="10"/>
      <c r="P1" s="10"/>
      <c r="Q1" s="10"/>
      <c r="R1" s="10"/>
      <c r="S1" s="10"/>
      <c r="T1" s="10"/>
      <c r="U1" s="10"/>
      <c r="V1" s="10"/>
      <c r="W1" s="10"/>
      <c r="X1" s="10"/>
      <c r="Y1" s="10"/>
      <c r="Z1" s="10"/>
      <c r="AA1" s="10"/>
      <c r="AB1" s="10"/>
    </row>
    <row r="2" spans="1:30" ht="12.9" thickTop="1">
      <c r="A2" s="10"/>
      <c r="B2" s="10"/>
      <c r="C2" s="10"/>
      <c r="D2" s="10"/>
      <c r="E2" s="10"/>
      <c r="F2" s="298" t="str">
        <f>H5&amp;"10"</f>
        <v>L10</v>
      </c>
      <c r="G2" s="298" t="str">
        <f>H5&amp;"11"</f>
        <v>L11</v>
      </c>
      <c r="H2" s="298">
        <f ca="1">COUNTIF($F$11:INDIRECT(G2),"2x I/O")</f>
        <v>1</v>
      </c>
      <c r="I2" s="569" t="s">
        <v>629</v>
      </c>
      <c r="J2" s="570"/>
      <c r="K2" s="570"/>
      <c r="L2" s="570"/>
      <c r="M2" s="570"/>
      <c r="N2" s="570"/>
      <c r="O2" s="570"/>
      <c r="P2" s="570"/>
      <c r="Q2" s="570"/>
      <c r="R2" s="571"/>
      <c r="AA2" s="10"/>
      <c r="AB2" s="10"/>
    </row>
    <row r="3" spans="1:30" ht="13.3" thickBot="1">
      <c r="A3" s="10"/>
      <c r="B3" s="10"/>
      <c r="C3" s="10"/>
      <c r="D3" s="10"/>
      <c r="E3" s="10"/>
      <c r="F3" s="10"/>
      <c r="G3" s="298" t="str">
        <f>H5&amp;"7"</f>
        <v>L7</v>
      </c>
      <c r="H3" s="298">
        <f ca="1">SUM(COUNTIF(F7:INDIRECT(G4),"L55"),COUNTIF(F7:INDIRECT(G4),"L25"))</f>
        <v>1</v>
      </c>
      <c r="I3" s="572"/>
      <c r="J3" s="573"/>
      <c r="K3" s="573"/>
      <c r="L3" s="573"/>
      <c r="M3" s="573"/>
      <c r="N3" s="573"/>
      <c r="O3" s="573"/>
      <c r="P3" s="573"/>
      <c r="Q3" s="573"/>
      <c r="R3" s="574"/>
      <c r="T3" s="325" t="s">
        <v>461</v>
      </c>
      <c r="AA3" s="10"/>
      <c r="AB3" s="10"/>
    </row>
    <row r="4" spans="1:30" ht="12" customHeight="1" thickTop="1" thickBot="1">
      <c r="A4" s="10"/>
      <c r="B4" s="10"/>
      <c r="C4" s="10"/>
      <c r="D4" s="10"/>
      <c r="E4" s="10"/>
      <c r="F4" s="298">
        <f ca="1">IF(AND(F8=Names4500!C122,Table4500!D18=0),4,18)</f>
        <v>18</v>
      </c>
      <c r="G4" s="298" t="str">
        <f>H5&amp;"7"</f>
        <v>L7</v>
      </c>
      <c r="H4" s="298">
        <f ca="1">SUM(COUNTIF(F7:INDIRECT(G4),"D55"),COUNTIF(F7:INDIRECT(G4),"D25"))</f>
        <v>3</v>
      </c>
      <c r="I4" s="361"/>
      <c r="J4" s="361"/>
      <c r="K4" s="361"/>
      <c r="L4" s="361"/>
      <c r="M4" s="361"/>
      <c r="N4" s="361"/>
      <c r="O4" s="361"/>
      <c r="P4" s="361"/>
      <c r="Q4" s="361"/>
      <c r="R4" s="361"/>
      <c r="S4" s="10"/>
      <c r="T4" s="10"/>
      <c r="U4" s="10"/>
      <c r="V4" s="10"/>
      <c r="W4" s="10"/>
      <c r="X4" s="10"/>
      <c r="Y4" s="10"/>
      <c r="Z4" s="10"/>
      <c r="AA4" s="10"/>
      <c r="AB4" s="10"/>
    </row>
    <row r="5" spans="1:30" ht="13.3" thickTop="1" thickBot="1">
      <c r="B5" s="575" t="s">
        <v>510</v>
      </c>
      <c r="C5" s="576"/>
      <c r="D5" s="576"/>
      <c r="E5" s="577"/>
      <c r="F5" s="203">
        <v>4</v>
      </c>
      <c r="G5" s="203" t="s">
        <v>514</v>
      </c>
      <c r="H5" s="298" t="str">
        <f>IF(F5=1,"F",IF(F5=2,"J",IF(F5=3,"K",IF(F5=4,"L",IF(F5=5,"M",IF(F5=6,"N",IF(F5=7,"O",IF(F5=8,"P",IF(F5=9,"Q",IF(F5=10,"R",IF(F5=11,"S",IF(F5=12,"T",IF(F5=13,"U",IF(F5=14,"V",IF(F5=15,"W",IF(F5=16,"X",IF(F5=17,"Y",IF(F5=18,"Z"))))))))))))))))))</f>
        <v>L</v>
      </c>
      <c r="I5" s="298" t="b">
        <f ca="1">IF(F6&gt;=$F$5,TRUE,OR(MATCH(F9,INDIRECT(INDEX(indirectNmDrArray4500,(F6))),FALSE),MATCH(F11,INDIRECT(INDEX(indirectioDframeArray4500,(F6))),FALSE)))</f>
        <v>1</v>
      </c>
      <c r="J5" s="144" t="b">
        <f t="shared" ref="J5:Z5" ca="1" si="0">IF(J6&gt;$F$5,TRUE,OR(MATCH(J9,INDIRECT(INDEX(indirectNmDrArray4500,(J6))),FALSE),MATCH(J11,INDIRECT(INDEX(indirectioDframeArray4500,(J6))),FALSE)))</f>
        <v>1</v>
      </c>
      <c r="K5" s="144" t="b">
        <f t="shared" ca="1" si="0"/>
        <v>1</v>
      </c>
      <c r="L5" s="144" t="b">
        <f t="shared" ca="1" si="0"/>
        <v>1</v>
      </c>
      <c r="M5" s="144" t="b">
        <f t="shared" ca="1" si="0"/>
        <v>1</v>
      </c>
      <c r="N5" s="144" t="b">
        <f t="shared" ca="1" si="0"/>
        <v>1</v>
      </c>
      <c r="O5" s="144" t="b">
        <f t="shared" ca="1" si="0"/>
        <v>1</v>
      </c>
      <c r="P5" s="144" t="b">
        <f t="shared" ca="1" si="0"/>
        <v>1</v>
      </c>
      <c r="Q5" s="144" t="b">
        <f t="shared" ca="1" si="0"/>
        <v>1</v>
      </c>
      <c r="R5" s="144" t="b">
        <f t="shared" ca="1" si="0"/>
        <v>1</v>
      </c>
      <c r="S5" s="144" t="b">
        <f t="shared" ca="1" si="0"/>
        <v>1</v>
      </c>
      <c r="T5" s="144" t="b">
        <f t="shared" ca="1" si="0"/>
        <v>1</v>
      </c>
      <c r="U5" s="144" t="b">
        <f t="shared" ca="1" si="0"/>
        <v>1</v>
      </c>
      <c r="V5" s="144" t="b">
        <f t="shared" ca="1" si="0"/>
        <v>1</v>
      </c>
      <c r="W5" s="144" t="b">
        <f t="shared" ca="1" si="0"/>
        <v>1</v>
      </c>
      <c r="X5" s="144" t="b">
        <f t="shared" ca="1" si="0"/>
        <v>1</v>
      </c>
      <c r="Y5" s="144" t="b">
        <f t="shared" ca="1" si="0"/>
        <v>1</v>
      </c>
      <c r="Z5" s="144" t="b">
        <f t="shared" ca="1" si="0"/>
        <v>1</v>
      </c>
      <c r="AA5" s="10"/>
      <c r="AB5" s="10"/>
      <c r="AC5" s="231">
        <v>19</v>
      </c>
    </row>
    <row r="6" spans="1:30" ht="13.3" thickTop="1" thickBot="1">
      <c r="B6" s="10"/>
      <c r="C6" s="10"/>
      <c r="D6" s="10"/>
      <c r="E6" s="10"/>
      <c r="F6" s="578">
        <v>1</v>
      </c>
      <c r="G6" s="578"/>
      <c r="H6" s="578"/>
      <c r="I6" s="578"/>
      <c r="J6" s="244">
        <v>2</v>
      </c>
      <c r="K6" s="244">
        <v>3</v>
      </c>
      <c r="L6" s="244">
        <v>4</v>
      </c>
      <c r="M6" s="244">
        <v>5</v>
      </c>
      <c r="N6" s="244">
        <v>6</v>
      </c>
      <c r="O6" s="244">
        <v>7</v>
      </c>
      <c r="P6" s="244">
        <v>8</v>
      </c>
      <c r="Q6" s="244">
        <v>9</v>
      </c>
      <c r="R6" s="244">
        <v>10</v>
      </c>
      <c r="S6" s="244">
        <v>11</v>
      </c>
      <c r="T6" s="244">
        <v>12</v>
      </c>
      <c r="U6" s="244">
        <v>13</v>
      </c>
      <c r="V6" s="244">
        <v>14</v>
      </c>
      <c r="W6" s="244">
        <v>15</v>
      </c>
      <c r="X6" s="244">
        <v>16</v>
      </c>
      <c r="Y6" s="244">
        <v>17</v>
      </c>
      <c r="Z6" s="244">
        <v>18</v>
      </c>
      <c r="AA6" s="298">
        <v>19</v>
      </c>
      <c r="AB6" s="10"/>
    </row>
    <row r="7" spans="1:30" ht="13.3" thickTop="1" thickBot="1">
      <c r="B7" s="575" t="s">
        <v>511</v>
      </c>
      <c r="C7" s="576"/>
      <c r="D7" s="576"/>
      <c r="E7" s="577"/>
      <c r="F7" s="579" t="s">
        <v>363</v>
      </c>
      <c r="G7" s="580"/>
      <c r="H7" s="580"/>
      <c r="I7" s="581"/>
      <c r="J7" s="8" t="s">
        <v>346</v>
      </c>
      <c r="K7" s="8" t="s">
        <v>363</v>
      </c>
      <c r="L7" s="8" t="s">
        <v>363</v>
      </c>
      <c r="M7" s="8" t="s">
        <v>364</v>
      </c>
      <c r="N7" s="8" t="s">
        <v>364</v>
      </c>
      <c r="O7" s="8" t="s">
        <v>364</v>
      </c>
      <c r="P7" s="8" t="s">
        <v>364</v>
      </c>
      <c r="Q7" s="8" t="s">
        <v>364</v>
      </c>
      <c r="R7" s="8" t="s">
        <v>364</v>
      </c>
      <c r="S7" s="8" t="s">
        <v>364</v>
      </c>
      <c r="T7" s="8" t="s">
        <v>364</v>
      </c>
      <c r="U7" s="8" t="s">
        <v>368</v>
      </c>
      <c r="V7" s="8" t="s">
        <v>362</v>
      </c>
      <c r="W7" s="8" t="s">
        <v>362</v>
      </c>
      <c r="X7" s="8" t="s">
        <v>368</v>
      </c>
      <c r="Y7" s="8" t="s">
        <v>362</v>
      </c>
      <c r="Z7" s="8" t="s">
        <v>362</v>
      </c>
      <c r="AA7" s="10"/>
      <c r="AB7" s="10"/>
    </row>
    <row r="8" spans="1:30" ht="13.3" thickTop="1" thickBot="1">
      <c r="B8" s="575" t="s">
        <v>358</v>
      </c>
      <c r="C8" s="576"/>
      <c r="D8" s="576"/>
      <c r="E8" s="577"/>
      <c r="F8" s="590" t="s">
        <v>494</v>
      </c>
      <c r="G8" s="591"/>
      <c r="H8" s="591"/>
      <c r="I8" s="592"/>
      <c r="J8" s="197" t="str">
        <f ca="1">IF($F$5&gt;=1,IF(AND(F8=Names4500!C122,Table4500!D18=0,F5&gt;4),"!! Maximum number of supported library frames only 4 - pls. adjust !!",IF(AND(Table4500!$I$19&gt;Table4500!$N$19,$F$5&gt;Table4500!$N$19),"!! Maximum number of supported D-frames only "&amp;Table4500!$N$19&amp;" - pls. adjust !!",IF(Table4500!$I$21&gt;1,"!! Maximum number of supported L-frames 1 - pls. adjust !!",IF(Table4500!$I$21=0,"!! Minimum number is ONE L-frames - pls. adjust !!",IF(Table4500!E33=0,"!! Minimum number is ONE tape drive - pls. adjust !!",IF(AND(G5="HA",OR(F7="L25",F7="L55",F7="S54",F7="S24")),"!! With HA option first frame cannot be a L-Frame nor a Sx4-Frame - pls. adjust !!",IF(Names4500!C561=1,"!! With HA option last frame cannot be a Sx4-Frame - pls. adjust !!",IF(Names4500!C582=1,"!! With HA option no I/O Station allowed in Frame 1 - pls. adjust !!",IF(AND(F8=Names4500!C122,$G$5="HA"),"!! With HA Firmware Level must be &gt;= 2 - pls. adjust !!",IF(AND($F$5=1,$G$5="HA"),"!! For HA total number of frames &gt;= 2 - pls. adjust !!"," "))))))))))," ")</f>
        <v xml:space="preserve"> </v>
      </c>
      <c r="K8" s="192"/>
      <c r="L8" s="192"/>
      <c r="M8" s="192"/>
      <c r="N8" s="192"/>
      <c r="O8" s="192"/>
      <c r="P8" s="192"/>
      <c r="Q8" s="192"/>
      <c r="R8" s="192"/>
      <c r="S8" s="192"/>
      <c r="T8" s="192"/>
      <c r="U8" s="192"/>
      <c r="V8" s="192"/>
      <c r="W8" s="192"/>
      <c r="X8" s="192"/>
      <c r="Y8" s="192"/>
      <c r="Z8" s="192"/>
      <c r="AA8" s="10"/>
      <c r="AB8" s="10"/>
    </row>
    <row r="9" spans="1:30" ht="13.3" thickTop="1" thickBot="1">
      <c r="B9" s="593" t="str">
        <f ca="1">"# of Drives ("&amp;Table4500!$E$33&amp;"/max."&amp;Table4500!$E$32&amp;")"</f>
        <v># of Drives (7/max.128)</v>
      </c>
      <c r="C9" s="576"/>
      <c r="D9" s="576"/>
      <c r="E9" s="577"/>
      <c r="F9" s="594">
        <v>1</v>
      </c>
      <c r="G9" s="595"/>
      <c r="H9" s="595"/>
      <c r="I9" s="596"/>
      <c r="J9" s="242">
        <v>6</v>
      </c>
      <c r="K9" s="242">
        <v>0</v>
      </c>
      <c r="L9" s="242">
        <v>0</v>
      </c>
      <c r="M9" s="242">
        <v>0</v>
      </c>
      <c r="N9" s="242">
        <v>0</v>
      </c>
      <c r="O9" s="242">
        <v>0</v>
      </c>
      <c r="P9" s="242">
        <v>0</v>
      </c>
      <c r="Q9" s="242">
        <v>0</v>
      </c>
      <c r="R9" s="242">
        <v>0</v>
      </c>
      <c r="S9" s="242">
        <v>0</v>
      </c>
      <c r="T9" s="242">
        <v>0</v>
      </c>
      <c r="U9" s="242">
        <v>0</v>
      </c>
      <c r="V9" s="242">
        <v>16</v>
      </c>
      <c r="W9" s="242">
        <v>16</v>
      </c>
      <c r="X9" s="242">
        <v>0</v>
      </c>
      <c r="Y9" s="242">
        <v>16</v>
      </c>
      <c r="Z9" s="242">
        <v>0</v>
      </c>
      <c r="AA9" s="62"/>
      <c r="AB9" s="10"/>
    </row>
    <row r="10" spans="1:30" ht="13.3" thickTop="1" thickBot="1">
      <c r="B10" s="575" t="s">
        <v>21</v>
      </c>
      <c r="C10" s="576"/>
      <c r="D10" s="576"/>
      <c r="E10" s="577"/>
      <c r="F10" s="590" t="s">
        <v>372</v>
      </c>
      <c r="G10" s="597"/>
      <c r="H10" s="597"/>
      <c r="I10" s="598"/>
      <c r="J10" s="529" t="s">
        <v>372</v>
      </c>
      <c r="K10" s="529" t="s">
        <v>372</v>
      </c>
      <c r="L10" s="529" t="s">
        <v>372</v>
      </c>
      <c r="M10" s="529" t="s">
        <v>372</v>
      </c>
      <c r="N10" s="529" t="s">
        <v>372</v>
      </c>
      <c r="O10" s="529" t="s">
        <v>372</v>
      </c>
      <c r="P10" s="529" t="s">
        <v>201</v>
      </c>
      <c r="Q10" s="529" t="s">
        <v>201</v>
      </c>
      <c r="R10" s="529" t="s">
        <v>201</v>
      </c>
      <c r="S10" s="529" t="s">
        <v>201</v>
      </c>
      <c r="T10" s="529" t="s">
        <v>201</v>
      </c>
      <c r="U10" s="529" t="s">
        <v>201</v>
      </c>
      <c r="V10" s="529" t="s">
        <v>372</v>
      </c>
      <c r="W10" s="529" t="s">
        <v>372</v>
      </c>
      <c r="X10" s="529" t="s">
        <v>372</v>
      </c>
      <c r="Y10" s="529" t="s">
        <v>372</v>
      </c>
      <c r="Z10" s="233" t="s">
        <v>372</v>
      </c>
      <c r="AA10" s="10"/>
      <c r="AB10" s="10"/>
    </row>
    <row r="11" spans="1:30" ht="13.3" thickTop="1" thickBot="1">
      <c r="B11" s="575" t="s">
        <v>429</v>
      </c>
      <c r="C11" s="576"/>
      <c r="D11" s="576"/>
      <c r="E11" s="577"/>
      <c r="F11" s="579" t="s">
        <v>127</v>
      </c>
      <c r="G11" s="597"/>
      <c r="H11" s="597"/>
      <c r="I11" s="598"/>
      <c r="J11" s="530" t="s">
        <v>428</v>
      </c>
      <c r="K11" s="530" t="s">
        <v>127</v>
      </c>
      <c r="L11" s="530" t="s">
        <v>127</v>
      </c>
      <c r="M11" s="530" t="s">
        <v>127</v>
      </c>
      <c r="N11" s="530" t="s">
        <v>127</v>
      </c>
      <c r="O11" s="530" t="s">
        <v>127</v>
      </c>
      <c r="P11" s="530" t="s">
        <v>127</v>
      </c>
      <c r="Q11" s="530" t="s">
        <v>127</v>
      </c>
      <c r="R11" s="530" t="s">
        <v>127</v>
      </c>
      <c r="S11" s="530" t="s">
        <v>127</v>
      </c>
      <c r="T11" s="530" t="s">
        <v>127</v>
      </c>
      <c r="U11" s="530" t="s">
        <v>127</v>
      </c>
      <c r="V11" s="530" t="s">
        <v>127</v>
      </c>
      <c r="W11" s="530" t="s">
        <v>127</v>
      </c>
      <c r="X11" s="530" t="s">
        <v>127</v>
      </c>
      <c r="Y11" s="530" t="s">
        <v>127</v>
      </c>
      <c r="Z11" s="8" t="s">
        <v>127</v>
      </c>
      <c r="AA11" s="10"/>
      <c r="AB11" s="10"/>
    </row>
    <row r="12" spans="1:30" ht="12.75" customHeight="1" thickTop="1" thickBot="1">
      <c r="B12" s="600"/>
      <c r="C12" s="600"/>
      <c r="D12" s="600"/>
      <c r="E12" s="601"/>
      <c r="F12" s="602">
        <f>IF(OR(F7="S25",F7="S55"),1,IF(Table4500!$D$21&lt;3,IF(Table4500!C23=1,1,0),IF(AND(Table4500!C23=1,Table4500!C24=1),1,0)))</f>
        <v>1</v>
      </c>
      <c r="G12" s="603"/>
      <c r="H12" s="603"/>
      <c r="I12" s="604"/>
      <c r="J12" s="243">
        <f>IF(OR(J7="S25",J7="S55"),1,IF(Table4500!$D$21&lt;Table4500!$D$20,IF(Table4500!D23=1,1,0),IF(AND(Table4500!D23=1,Table4500!D24=1),1,0)))</f>
        <v>0</v>
      </c>
      <c r="K12" s="243">
        <f>IF(OR(K7="S25",K7="S55"),1,IF(Table4500!$D$21&lt;Table4500!$D$20,IF(Table4500!E23=1,1,0),IF(AND(Table4500!E23=1,Table4500!E24=1),1,0)))</f>
        <v>1</v>
      </c>
      <c r="L12" s="243">
        <f>IF(OR(L7="S25",L7="S55"),1,IF(Table4500!$D$21&lt;Table4500!$D$20,IF(Table4500!F23=1,1,0),IF(AND(Table4500!F23=1,Table4500!F24=1),1,0)))</f>
        <v>1</v>
      </c>
      <c r="M12" s="243">
        <f>IF(OR(M7="S25",M7="S55"),1,IF(Table4500!$D$21&lt;Table4500!$D$20,IF(Table4500!G23=1,1,0),IF(AND(Table4500!G23=1,Table4500!G24=1),1,0)))</f>
        <v>1</v>
      </c>
      <c r="N12" s="243">
        <f>IF(OR(N7="S25",N7="S55"),1,IF(Table4500!$D$21&lt;Table4500!$D$20,IF(Table4500!H23=1,1,0),IF(AND(Table4500!H23=1,Table4500!H24=1),1,0)))</f>
        <v>1</v>
      </c>
      <c r="O12" s="243">
        <f>IF(OR(O7="S25",O7="S55"),1,IF(Table4500!$D$21&lt;Table4500!$D$20,IF(Table4500!I23=1,1,0),IF(AND(Table4500!I23=1,Table4500!I24=1),1,0)))</f>
        <v>1</v>
      </c>
      <c r="P12" s="243">
        <f>IF(OR(P7="S25",P7="S55"),1,IF(Table4500!$D$21&lt;Table4500!$D$20,IF(Table4500!J23=1,1,0),IF(AND(Table4500!J23=1,Table4500!J24=1),1,0)))</f>
        <v>1</v>
      </c>
      <c r="Q12" s="243">
        <f>IF(OR(Q7="S25",Q7="S55"),1,IF(Table4500!$D$21&lt;Table4500!$D$20,IF(Table4500!K23=1,1,0),IF(AND(Table4500!K23=1,Table4500!K24=1),1,0)))</f>
        <v>1</v>
      </c>
      <c r="R12" s="243">
        <f>IF(OR(R7="S25",R7="S55"),1,IF(Table4500!$D$21&lt;Table4500!$D$20,IF(Table4500!L23=1,1,0),IF(AND(Table4500!L23=1,Table4500!L24=1),1,0)))</f>
        <v>1</v>
      </c>
      <c r="S12" s="243">
        <f>IF(OR(S7="S25",S7="S55"),1,IF(Table4500!$D$21&lt;Table4500!$D$20,IF(Table4500!M23=1,1,0),IF(AND(Table4500!M23=1,Table4500!M24=1),1,0)))</f>
        <v>1</v>
      </c>
      <c r="T12" s="243">
        <f>IF(OR(T7="S25",T7="S55"),1,IF(Table4500!$D$21&lt;Table4500!$D$20,IF(Table4500!N23=1,1,0),IF(AND(Table4500!N23=1,Table4500!N24=1),1,0)))</f>
        <v>1</v>
      </c>
      <c r="U12" s="243">
        <f>IF(OR(U7="S25",U7="S55"),1,IF(Table4500!$D$21&lt;Table4500!$D$20,IF(Table4500!O23=1,1,0),IF(AND(Table4500!O23=1,Table4500!O24=1),1,0)))</f>
        <v>1</v>
      </c>
      <c r="V12" s="243">
        <f>IF(OR(V7="S25",V7="S55"),1,IF(Table4500!$D$21&lt;Table4500!$D$20,IF(Table4500!P23=1,1,0),IF(AND(Table4500!P23=1,Table4500!P24=1),1,0)))</f>
        <v>0</v>
      </c>
      <c r="W12" s="243">
        <f>IF(OR(W7="S25",W7="S55"),1,IF(Table4500!$D$21&lt;Table4500!$D$20,IF(Table4500!Q23=1,1,0),IF(AND(Table4500!Q23=1,Table4500!Q24=1),1,0)))</f>
        <v>0</v>
      </c>
      <c r="X12" s="243">
        <f>IF(OR(X7="S25",X7="S55"),1,IF(Table4500!$D$21&lt;Table4500!$D$20,IF(Table4500!R23=1,1,0),IF(AND(Table4500!R23=1,Table4500!R24=1),1,0)))</f>
        <v>1</v>
      </c>
      <c r="Y12" s="243">
        <f>IF(OR(Y7="S25",Y7="S55"),1,IF(Table4500!$D$21&lt;Table4500!$D$20,IF(Table4500!S23=1,1,0),IF(AND(Table4500!S23=1,Table4500!S24=1),1,0)))</f>
        <v>0</v>
      </c>
      <c r="Z12" s="243">
        <f>IF(OR(Z7="S25",Z7="S55"),1,IF(Table4500!$D$21&lt;Table4500!$D$20,IF(Table4500!T23=1,1,0),IF(AND(Table4500!T23=1,Table4500!T24=1),1,0)))</f>
        <v>0</v>
      </c>
      <c r="AA12" s="10"/>
      <c r="AB12" s="10"/>
    </row>
    <row r="13" spans="1:30" ht="12.75" customHeight="1" thickBot="1">
      <c r="B13" s="575" t="s">
        <v>512</v>
      </c>
      <c r="C13" s="582"/>
      <c r="D13" s="582"/>
      <c r="E13" s="583"/>
      <c r="F13" s="587">
        <f>IF(F$7="L25",Table4500!C77,IF(F$7="L55",Table4500!C78,IF(F$7="D25",Table4500!C79,IF(F$7="D55",Table4500!C80,IF(F$7="S25",Table4500!C81,IF(F$7="S55",Table4500!C82,0))))))</f>
        <v>524.5</v>
      </c>
      <c r="G13" s="588"/>
      <c r="H13" s="588"/>
      <c r="I13" s="589"/>
      <c r="J13" s="7">
        <f>IF(J$7="L25",Table4500!$D$77,IF(J$7="L55",Table4500!$D$78,IF(J$7="D25",Table4500!$D$79,IF(J$7="D55",Table4500!$D$80,IF(J$7="S25",Table4500!$D$81,IF(J$7="S55",Table4500!$D$82,0))))))</f>
        <v>655</v>
      </c>
      <c r="K13" s="7">
        <f>IF(K$7="L25",Table4500!$D$77,IF(K$7="L55",Table4500!$D$78,IF(K$7="D25",Table4500!$D$79,IF(K$7="D55",Table4500!$D$80,IF(K$7="S25",Table4500!$D$81,IF(K$7="S55",Table4500!$D$82,0))))))</f>
        <v>577</v>
      </c>
      <c r="L13" s="7">
        <f>IF(L$7="L25",Table4500!$D$77,IF(L$7="L55",Table4500!$D$78,IF(L$7="D25",Table4500!$D$79,IF(L$7="D55",Table4500!$D$80,IF(L$7="S25",Table4500!$D$81,IF(L$7="S55",Table4500!$D$82,0))))))</f>
        <v>577</v>
      </c>
      <c r="M13" s="7">
        <f>IF(M$7="L25",Table4500!$D$77,IF(M$7="L55",Table4500!$D$78,IF(M$7="D25",Table4500!$D$79,IF(M$7="D55",Table4500!$D$80,IF(M$7="S25",Table4500!$D$81,IF(M$7="S55",Table4500!$D$82,0))))))</f>
        <v>565</v>
      </c>
      <c r="N13" s="7">
        <f>IF(N$7="L25",Table4500!$D$77,IF(N$7="L55",Table4500!$D$78,IF(N$7="D25",Table4500!$D$79,IF(N$7="D55",Table4500!$D$80,IF(N$7="S25",Table4500!$D$81,IF(N$7="S55",Table4500!$D$82,0))))))</f>
        <v>565</v>
      </c>
      <c r="O13" s="7">
        <f>IF(O$7="L25",Table4500!$D$77,IF(O$7="L55",Table4500!$D$78,IF(O$7="D25",Table4500!$D$79,IF(O$7="D55",Table4500!$D$80,IF(O$7="S25",Table4500!$D$81,IF(O$7="S55",Table4500!$D$82,0))))))</f>
        <v>565</v>
      </c>
      <c r="P13" s="7">
        <f>IF(P$7="L25",Table4500!$D$77,IF(P$7="L55",Table4500!$D$78,IF(P$7="D25",Table4500!$D$79,IF(P$7="D55",Table4500!$D$80,IF(P$7="S25",Table4500!$D$81,IF(P$7="S55",Table4500!$D$82,0))))))</f>
        <v>565</v>
      </c>
      <c r="Q13" s="7">
        <f>IF(Q$7="L25",Table4500!$D$77,IF(Q$7="L55",Table4500!$D$78,IF(Q$7="D25",Table4500!$D$79,IF(Q$7="D55",Table4500!$D$80,IF(Q$7="S25",Table4500!$D$81,IF(Q$7="S55",Table4500!$D$82,0))))))</f>
        <v>565</v>
      </c>
      <c r="R13" s="7">
        <f>IF(R$7="L25",Table4500!$D$77,IF(R$7="L55",Table4500!$D$78,IF(R$7="D25",Table4500!$D$79,IF(R$7="D55",Table4500!$D$80,IF(R$7="S25",Table4500!$D$81,IF(R$7="S55",Table4500!$D$82,0))))))</f>
        <v>565</v>
      </c>
      <c r="S13" s="7">
        <f>IF(S$7="L25",Table4500!$D$77,IF(S$7="L55",Table4500!$D$78,IF(S$7="D25",Table4500!$D$79,IF(S$7="D55",Table4500!$D$80,IF(S$7="S25",Table4500!$D$81,IF(S$7="S55",Table4500!$D$82,0))))))</f>
        <v>565</v>
      </c>
      <c r="T13" s="7">
        <f>IF(T$7="L25",Table4500!$D$77,IF(T$7="L55",Table4500!$D$78,IF(T$7="D25",Table4500!$D$79,IF(T$7="D55",Table4500!$D$80,IF(T$7="S25",Table4500!$D$81,IF(T$7="S55",Table4500!$D$82,0))))))</f>
        <v>565</v>
      </c>
      <c r="U13" s="7">
        <f>IF(U$7="L25",Table4500!$D$77,IF(U$7="L55",Table4500!$D$78,IF(U$7="D25",Table4500!$D$79,IF(U$7="D55",Table4500!$D$80,IF(U$7="S25",Table4500!$D$81,IF(U$7="S55",Table4500!$D$82,0))))))</f>
        <v>588.5</v>
      </c>
      <c r="V13" s="7">
        <f>IF(V$7="L25",Table4500!$D$77,IF(V$7="L55",Table4500!$D$78,IF(V$7="D25",Table4500!$D$79,IF(V$7="D55",Table4500!$D$80,IF(V$7="S25",Table4500!$D$81,IF(V$7="S55",Table4500!$D$82,0))))))</f>
        <v>581.5</v>
      </c>
      <c r="W13" s="7">
        <f>IF(W$7="L25",Table4500!$D$77,IF(W$7="L55",Table4500!$D$78,IF(W$7="D25",Table4500!$D$79,IF(W$7="D55",Table4500!$D$80,IF(W$7="S25",Table4500!$D$81,IF(W$7="S55",Table4500!$D$82,0))))))</f>
        <v>581.5</v>
      </c>
      <c r="X13" s="7">
        <f>IF(X$7="L25",Table4500!$D$77,IF(X$7="L55",Table4500!$D$78,IF(X$7="D25",Table4500!$D$79,IF(X$7="D55",Table4500!$D$80,IF(X$7="S25",Table4500!$D$81,IF(X$7="S55",Table4500!$D$82,0))))))</f>
        <v>588.5</v>
      </c>
      <c r="Y13" s="7">
        <f>IF(Y$7="L25",Table4500!$D$77,IF(Y$7="L55",Table4500!$D$78,IF(Y$7="D25",Table4500!$D$79,IF(Y$7="D55",Table4500!$D$80,IF(Y$7="S25",Table4500!$D$81,IF(Y$7="S55",Table4500!$D$82,0))))))</f>
        <v>581.5</v>
      </c>
      <c r="Z13" s="7">
        <f>IF(Z$7="L25",Table4500!$D$77,IF(Z$7="L55",Table4500!$D$78,IF(Z$7="D25",Table4500!$D$79,IF(Z$7="D55",Table4500!$D$80,IF(Z$7="S25",Table4500!$D$81,IF(Z$7="S55",Table4500!$D$82,0))))))</f>
        <v>581.5</v>
      </c>
      <c r="AA13" s="10"/>
      <c r="AB13" s="10"/>
    </row>
    <row r="14" spans="1:30" ht="12.75" customHeight="1" thickBot="1">
      <c r="B14" s="575" t="s">
        <v>495</v>
      </c>
      <c r="C14" s="576"/>
      <c r="D14" s="576"/>
      <c r="E14" s="599"/>
      <c r="F14" s="326"/>
      <c r="G14" s="327"/>
      <c r="H14" s="327"/>
      <c r="I14" s="328"/>
      <c r="J14" s="329"/>
      <c r="K14" s="330"/>
      <c r="L14" s="330"/>
      <c r="M14" s="330"/>
      <c r="N14" s="330"/>
      <c r="O14" s="331"/>
      <c r="P14" s="331"/>
      <c r="Q14" s="332"/>
      <c r="R14" s="332"/>
      <c r="S14" s="332"/>
      <c r="T14" s="332"/>
      <c r="U14" s="332"/>
      <c r="V14" s="332"/>
      <c r="W14" s="333"/>
      <c r="X14" s="333"/>
      <c r="Y14" s="333"/>
      <c r="Z14" s="333"/>
      <c r="AA14" s="10"/>
      <c r="AB14" s="10"/>
    </row>
    <row r="15" spans="1:30" ht="12.9">
      <c r="B15" s="575" t="s">
        <v>513</v>
      </c>
      <c r="C15" s="582"/>
      <c r="D15" s="582"/>
      <c r="E15" s="583"/>
      <c r="F15" s="584" t="str">
        <f>IF(OR(F7="L55",F7="D55",F7="S55"),"LTO",IF(OR(F7="L25",F7="D25",F7="S25"),"3592","N/A"))</f>
        <v>3592</v>
      </c>
      <c r="G15" s="585"/>
      <c r="H15" s="585"/>
      <c r="I15" s="586"/>
      <c r="J15" s="304" t="str">
        <f t="shared" ref="J15:Z15" si="1">IF(OR(J7="L55",J7="D55",J7="S55"),"LTO",IF(OR(J7="L25",J7="D25",J7="S25"),"3592","N/A"))</f>
        <v>3592</v>
      </c>
      <c r="K15" s="304" t="str">
        <f t="shared" si="1"/>
        <v>3592</v>
      </c>
      <c r="L15" s="304" t="str">
        <f t="shared" si="1"/>
        <v>3592</v>
      </c>
      <c r="M15" s="304" t="str">
        <f t="shared" si="1"/>
        <v>3592</v>
      </c>
      <c r="N15" s="304" t="str">
        <f t="shared" si="1"/>
        <v>3592</v>
      </c>
      <c r="O15" s="304" t="str">
        <f t="shared" si="1"/>
        <v>3592</v>
      </c>
      <c r="P15" s="304" t="str">
        <f t="shared" si="1"/>
        <v>3592</v>
      </c>
      <c r="Q15" s="304" t="str">
        <f t="shared" si="1"/>
        <v>3592</v>
      </c>
      <c r="R15" s="304" t="str">
        <f t="shared" si="1"/>
        <v>3592</v>
      </c>
      <c r="S15" s="304" t="str">
        <f t="shared" si="1"/>
        <v>3592</v>
      </c>
      <c r="T15" s="304" t="str">
        <f t="shared" si="1"/>
        <v>3592</v>
      </c>
      <c r="U15" s="304" t="str">
        <f t="shared" si="1"/>
        <v>LTO</v>
      </c>
      <c r="V15" s="304" t="str">
        <f t="shared" si="1"/>
        <v>LTO</v>
      </c>
      <c r="W15" s="304" t="str">
        <f t="shared" si="1"/>
        <v>LTO</v>
      </c>
      <c r="X15" s="304" t="str">
        <f t="shared" si="1"/>
        <v>LTO</v>
      </c>
      <c r="Y15" s="304" t="str">
        <f t="shared" si="1"/>
        <v>LTO</v>
      </c>
      <c r="Z15" s="304" t="str">
        <f t="shared" si="1"/>
        <v>LTO</v>
      </c>
      <c r="AA15" s="10"/>
      <c r="AB15" s="10"/>
    </row>
    <row r="16" spans="1:30" ht="14.6" thickBot="1">
      <c r="B16" s="575" t="s">
        <v>523</v>
      </c>
      <c r="C16" s="576"/>
      <c r="D16" s="576"/>
      <c r="E16" s="599"/>
      <c r="F16" s="605">
        <f>IF($F$5=1,INDEX(Table4500!E7:K10,Table4500!D15,Table4500!D16),IF(AND(F7="L25",F10="HD"),Table4500!$E$10,IF(AND(F7="L55",F10="HD"),Table4500!$J$10,IF(AND(F7="L25",F10="Base"),Table4500!$E$9,IF(AND(F7="L55",F10="Base"),Table4500!$J$9,IF(AND(F7="D25",F10="HD",F11=""),Table4500!$L$10,IF(AND(F7="D55",F10="HD",F11=""),Table4500!$N$10,IF(AND(F7="D25",F10="Base"),Table4500!$L$9,IF(AND(F7="D55",F10="Base"),Table4500!$N$9,IF(AND(F7="S25",F10="HD"),Table4500!$R$10,IF(AND(F7="S55",F10="HD"),Table4500!$T$10,IF(AND(F7="S25",F10="Base"),Table4500!$R$9,IF(AND(F7="S55",F10="Base"),Table4500!$T$9,IF(AND(F7="D25",F10="HD",F11="2x I/O"),Table4500!$L$11,IF(AND(F7="D55",F10="HD",F11="2x I/O"),Table4500!$N$11,9999)))))))))))))))</f>
        <v>590</v>
      </c>
      <c r="G16" s="606"/>
      <c r="H16" s="606"/>
      <c r="I16" s="607"/>
      <c r="J16" s="63">
        <f>IF(J6&gt;$F$5,0,IF(AND(J7="L25",J10="HD"),Table4500!$F$10,IF(AND(J7="L55",J10="HD"),Table4500!$K$10,IF(AND(J7="L25",J10="Base"),Table4500!$F$9,IF(AND(J7="L55",J10="Base"),Table4500!$K$9,IF(AND(J7="D25",J10="HD",J11=""),Table4500!$M$10,IF(AND(J7="D55",J10="HD",J11=""),Table4500!$O$10,IF(AND(J7="D25",J10="Base"),Table4500!$M$9,IF(AND(J7="D55",J10="Base"),Table4500!$O$9,IF(AND(J7="S25",J10="HD"),Table4500!$S$10,IF(AND(J7="S55",J10="HD"),Table4500!$U$10,IF(AND(J7="S25",J10="Base"),Table4500!$S$9,IF(AND(J7="S55",J10="Base"),Table4500!$U$9,IF(AND(J7="D25",J10="HD",J11="2x I/O"),Table4500!$M$11,IF(AND(J7="D55",J10="HD",J11="2x I/O"),Table4500!$O$11,9999)))))))))))))))</f>
        <v>660</v>
      </c>
      <c r="K16" s="63">
        <f>IF(K6&gt;$F$5,0,IF(AND(K7="L25",K10="HD"),Table4500!$F$10,IF(AND(K7="L55",K10="HD"),Table4500!$K$10,IF(AND(K7="L25",K10="Base"),Table4500!$F$9,IF(AND(K7="L55",K10="Base"),Table4500!$K$9,IF(AND(K7="D25",K10="HD",K11=""),Table4500!$M$10,IF(AND(K7="D55",K10="HD",K11=""),Table4500!$O$10,IF(AND(K7="D25",K10="Base"),Table4500!$M$9,IF(AND(K7="D55",K10="Base"),Table4500!$O$9,IF(AND(K7="S25",K10="HD"),Table4500!$S$10,IF(AND(K7="S55",K10="HD"),Table4500!$U$10,IF(AND(K7="S25",K10="Base"),Table4500!$S$9,IF(AND(K7="S55",K10="Base"),Table4500!$U$9,IF(AND(K7="D25",K10="HD",K11="2x I/O"),Table4500!$M$11,IF(AND(K7="D55",K10="HD",K11="2x I/O"),Table4500!$O$11,9999)))))))))))))))</f>
        <v>740</v>
      </c>
      <c r="L16" s="63">
        <f>IF(L6&gt;$F$5,0,IF(AND(L7="L25",L10="HD"),Table4500!$F$10,IF(AND(L7="L55",L10="HD"),Table4500!$K$10,IF(AND(L7="L25",L10="Base"),Table4500!$F$9,IF(AND(L7="L55",L10="Base"),Table4500!$K$9,IF(AND(L7="D25",L10="HD",L11=""),Table4500!$M$10,IF(AND(L7="D55",L10="HD",L11=""),Table4500!$O$10,IF(AND(L7="D25",L10="Base"),Table4500!$M$9,IF(AND(L7="D55",L10="Base"),Table4500!$O$9,IF(AND(L7="S25",L10="HD"),Table4500!$S$10,IF(AND(L7="S55",L10="HD"),Table4500!$U$10,IF(AND(L7="S25",L10="Base"),Table4500!$S$9,IF(AND(L7="S55",L10="Base"),Table4500!$U$9,IF(AND(L7="D25",L10="HD",L11="2x I/O"),Table4500!$M$11,IF(AND(L7="D55",L10="HD",L11="2x I/O"),Table4500!$O$11,9999)))))))))))))))</f>
        <v>740</v>
      </c>
      <c r="M16" s="359">
        <f>IF(M6&gt;$F$5,0,IF(AND(M7="L25",M10="HD"),Table4500!$F$10,IF(AND(M7="L55",M10="HD"),Table4500!$K$10,IF(AND(M7="L25",M10="Base"),Table4500!$F$9,IF(AND(M7="L55",M10="Base"),Table4500!$K$9,IF(AND(M7="D25",M10="HD",M11=""),Table4500!$M$10,IF(AND(M7="D55",M10="HD",M11=""),Table4500!$O$10,IF(AND(M7="D25",M10="Base"),Table4500!$M$9,IF(AND(M7="D55",M10="Base"),Table4500!$O$9,IF(AND(M7="S25",M10="HD"),Table4500!$S$10,IF(AND(M7="S55",M10="HD"),Table4500!$U$10,IF(AND(M7="S25",M10="Base"),Table4500!$S$9,IF(AND(M7="S55",M10="Base"),Table4500!$U$9,IF(AND(M7="D25",M10="HD",M11="2x I/O"),Table4500!$M$11,IF(AND(M7="D55",M10="HD",M11="2x I/O"),Table4500!$O$11,9999)))))))))))))))</f>
        <v>0</v>
      </c>
      <c r="N16" s="359">
        <f>IF(N6&gt;$F$5,0,IF(AND(N7="L25",N10="HD"),Table4500!$F$10,IF(AND(N7="L55",N10="HD"),Table4500!$K$10,IF(AND(N7="L25",N10="Base"),Table4500!$F$9,IF(AND(N7="L55",N10="Base"),Table4500!$K$9,IF(AND(N7="D25",N10="HD",N11=""),Table4500!$M$10,IF(AND(N7="D55",N10="HD",N11=""),Table4500!$O$10,IF(AND(N7="D25",N10="Base"),Table4500!$M$9,IF(AND(N7="D55",N10="Base"),Table4500!$O$9,IF(AND(N7="S25",N10="HD"),Table4500!$S$10,IF(AND(N7="S55",N10="HD"),Table4500!$U$10,IF(AND(N7="S25",N10="Base"),Table4500!$S$9,IF(AND(N7="S55",N10="Base"),Table4500!$U$9,IF(AND(N7="D25",N10="HD",N11="2x I/O"),Table4500!$M$11,IF(AND(N7="D55",N10="HD",N11="2x I/O"),Table4500!$O$11,9999)))))))))))))))</f>
        <v>0</v>
      </c>
      <c r="O16" s="63">
        <f>IF(O6&gt;$F$5,0,IF(AND(O7="L25",O10="HD"),Table4500!$F$10,IF(AND(O7="L55",O10="HD"),Table4500!$K$10,IF(AND(O7="L25",O10="Base"),Table4500!$F$9,IF(AND(O7="L55",O10="Base"),Table4500!$K$9,IF(AND(O7="D25",O10="HD",O11=""),Table4500!$M$10,IF(AND(O7="D55",O10="HD",O11=""),Table4500!$O$10,IF(AND(O7="D25",O10="Base"),Table4500!$M$9,IF(AND(O7="D55",O10="Base"),Table4500!$O$9,IF(AND(O7="S25",O10="HD"),Table4500!$S$10,IF(AND(O7="S55",O10="HD"),Table4500!$U$10,IF(AND(O7="S25",O10="Base"),Table4500!$S$9,IF(AND(O7="S55",O10="Base"),Table4500!$U$9,IF(AND(O7="D25",O10="HD",O11="2x I/O"),Table4500!$M$11,IF(AND(O7="D55",O10="HD",O11="2x I/O"),Table4500!$O$11,9999)))))))))))))))</f>
        <v>0</v>
      </c>
      <c r="P16" s="63">
        <f>IF(P6&gt;$F$5,0,IF(AND(P7="L25",P10="HD"),Table4500!$F$10,IF(AND(P7="L55",P10="HD"),Table4500!$K$10,IF(AND(P7="L25",P10="Base"),Table4500!$F$9,IF(AND(P7="L55",P10="Base"),Table4500!$K$9,IF(AND(P7="D25",P10="HD",P11=""),Table4500!$M$10,IF(AND(P7="D55",P10="HD",P11=""),Table4500!$O$10,IF(AND(P7="D25",P10="Base"),Table4500!$M$9,IF(AND(P7="D55",P10="Base"),Table4500!$O$9,IF(AND(P7="S25",P10="HD"),Table4500!$S$10,IF(AND(P7="S55",P10="HD"),Table4500!$U$10,IF(AND(P7="S25",P10="Base"),Table4500!$S$9,IF(AND(P7="S55",P10="Base"),Table4500!$U$9,IF(AND(P7="D25",P10="HD",P11="2x I/O"),Table4500!$M$11,IF(AND(P7="D55",P10="HD",P11="2x I/O"),Table4500!$O$11,9999)))))))))))))))</f>
        <v>0</v>
      </c>
      <c r="Q16" s="63">
        <f>IF(Q6&gt;$F$5,0,IF(AND(Q7="L25",Q10="HD"),Table4500!$F$10,IF(AND(Q7="L55",Q10="HD"),Table4500!$K$10,IF(AND(Q7="L25",Q10="Base"),Table4500!$F$9,IF(AND(Q7="L55",Q10="Base"),Table4500!$K$9,IF(AND(Q7="D25",Q10="HD",Q11=""),Table4500!$M$10,IF(AND(Q7="D55",Q10="HD",Q11=""),Table4500!$O$10,IF(AND(Q7="D25",Q10="Base"),Table4500!$M$9,IF(AND(Q7="D55",Q10="Base"),Table4500!$O$9,IF(AND(Q7="S25",Q10="HD"),Table4500!$S$10,IF(AND(Q7="S55",Q10="HD"),Table4500!$U$10,IF(AND(Q7="S25",Q10="Base"),Table4500!$S$9,IF(AND(Q7="S55",Q10="Base"),Table4500!$U$9,IF(AND(Q7="D25",Q10="HD",Q11="2x I/O"),Table4500!$M$11,IF(AND(Q7="D55",Q10="HD",Q11="2x I/O"),Table4500!$O$11,9999)))))))))))))))</f>
        <v>0</v>
      </c>
      <c r="R16" s="63">
        <f>IF(R6&gt;$F$5,0,IF(AND(R7="L25",R10="HD"),Table4500!$F$10,IF(AND(R7="L55",R10="HD"),Table4500!$K$10,IF(AND(R7="L25",R10="Base"),Table4500!$F$9,IF(AND(R7="L55",R10="Base"),Table4500!$K$9,IF(AND(R7="D25",R10="HD",R11=""),Table4500!$M$10,IF(AND(R7="D55",R10="HD",R11=""),Table4500!$O$10,IF(AND(R7="D25",R10="Base"),Table4500!$M$9,IF(AND(R7="D55",R10="Base"),Table4500!$O$9,IF(AND(R7="S25",R10="HD"),Table4500!$S$10,IF(AND(R7="S55",R10="HD"),Table4500!$U$10,IF(AND(R7="S25",R10="Base"),Table4500!$S$9,IF(AND(R7="S55",R10="Base"),Table4500!$U$9,IF(AND(R7="D25",R10="HD",R11="2x I/O"),Table4500!$M$11,IF(AND(R7="D55",R10="HD",R11="2x I/O"),Table4500!$O$11,9999)))))))))))))))</f>
        <v>0</v>
      </c>
      <c r="S16" s="63">
        <f>IF(S6&gt;$F$5,0,IF(AND(S7="L25",S10="HD"),Table4500!$F$10,IF(AND(S7="L55",S10="HD"),Table4500!$K$10,IF(AND(S7="L25",S10="Base"),Table4500!$F$9,IF(AND(S7="L55",S10="Base"),Table4500!$K$9,IF(AND(S7="D25",S10="HD",S11=""),Table4500!$M$10,IF(AND(S7="D55",S10="HD",S11=""),Table4500!$O$10,IF(AND(S7="D25",S10="Base"),Table4500!$M$9,IF(AND(S7="D55",S10="Base"),Table4500!$O$9,IF(AND(S7="S25",S10="HD"),Table4500!$S$10,IF(AND(S7="S55",S10="HD"),Table4500!$U$10,IF(AND(S7="S25",S10="Base"),Table4500!$S$9,IF(AND(S7="S55",S10="Base"),Table4500!$U$9,IF(AND(S7="D25",S10="HD",S11="2x I/O"),Table4500!$M$11,IF(AND(S7="D55",S10="HD",S11="2x I/O"),Table4500!$O$11,9999)))))))))))))))</f>
        <v>0</v>
      </c>
      <c r="T16" s="63">
        <f>IF(T6&gt;$F$5,0,IF(AND(T7="L25",T10="HD"),Table4500!$F$10,IF(AND(T7="L55",T10="HD"),Table4500!$K$10,IF(AND(T7="L25",T10="Base"),Table4500!$F$9,IF(AND(T7="L55",T10="Base"),Table4500!$K$9,IF(AND(T7="D25",T10="HD",T11=""),Table4500!$M$10,IF(AND(T7="D55",T10="HD",T11=""),Table4500!$O$10,IF(AND(T7="D25",T10="Base"),Table4500!$M$9,IF(AND(T7="D55",T10="Base"),Table4500!$O$9,IF(AND(T7="S25",T10="HD"),Table4500!$S$10,IF(AND(T7="S55",T10="HD"),Table4500!$U$10,IF(AND(T7="S25",T10="Base"),Table4500!$S$9,IF(AND(T7="S55",T10="Base"),Table4500!$U$9,IF(AND(T7="D25",T10="HD",T11="2x I/O"),Table4500!$M$11,IF(AND(T7="D55",T10="HD",T11="2x I/O"),Table4500!$O$11,9999)))))))))))))))</f>
        <v>0</v>
      </c>
      <c r="U16" s="63">
        <f>IF(U6&gt;$F$5,0,IF(AND(U7="L25",U10="HD"),Table4500!$F$10,IF(AND(U7="L55",U10="HD"),Table4500!$K$10,IF(AND(U7="L25",U10="Base"),Table4500!$F$9,IF(AND(U7="L55",U10="Base"),Table4500!$K$9,IF(AND(U7="D25",U10="HD",U11=""),Table4500!$M$10,IF(AND(U7="D55",U10="HD",U11=""),Table4500!$O$10,IF(AND(U7="D25",U10="Base"),Table4500!$M$9,IF(AND(U7="D55",U10="Base"),Table4500!$O$9,IF(AND(U7="S25",U10="HD"),Table4500!$S$10,IF(AND(U7="S55",U10="HD"),Table4500!$U$10,IF(AND(U7="S25",U10="Base"),Table4500!$S$9,IF(AND(U7="S55",U10="Base"),Table4500!$U$9,IF(AND(U7="D25",U10="HD",U11="2x I/O"),Table4500!$M$11,IF(AND(U7="D55",U10="HD",U11="2x I/O"),Table4500!$O$11,9999)))))))))))))))</f>
        <v>0</v>
      </c>
      <c r="V16" s="63">
        <f>IF(V6&gt;$F$5,0,IF(AND(V7="L25",V10="HD"),Table4500!$F$10,IF(AND(V7="L55",V10="HD"),Table4500!$K$10,IF(AND(V7="L25",V10="Base"),Table4500!$F$9,IF(AND(V7="L55",V10="Base"),Table4500!$K$9,IF(AND(V7="D25",V10="HD",V11=""),Table4500!$M$10,IF(AND(V7="D55",V10="HD",V11=""),Table4500!$O$10,IF(AND(V7="D25",V10="Base"),Table4500!$M$9,IF(AND(V7="D55",V10="Base"),Table4500!$O$9,IF(AND(V7="S25",V10="HD"),Table4500!$S$10,IF(AND(V7="S55",V10="HD"),Table4500!$U$10,IF(AND(V7="S25",V10="Base"),Table4500!$S$9,IF(AND(V7="S55",V10="Base"),Table4500!$U$9,IF(AND(V7="D25",V10="HD",V11="2x I/O"),Table4500!$M$11,IF(AND(V7="D55",V10="HD",V11="2x I/O"),Table4500!$O$11,9999)))))))))))))))</f>
        <v>0</v>
      </c>
      <c r="W16" s="63">
        <f>IF(W6&gt;$F$5,0,IF(AND(W7="L25",W10="HD"),Table4500!$F$10,IF(AND(W7="L55",W10="HD"),Table4500!$K$10,IF(AND(W7="L25",W10="Base"),Table4500!$F$9,IF(AND(W7="L55",W10="Base"),Table4500!$K$9,IF(AND(W7="D25",W10="HD",W11=""),Table4500!$M$10,IF(AND(W7="D55",W10="HD",W11=""),Table4500!$O$10,IF(AND(W7="D25",W10="Base"),Table4500!$M$9,IF(AND(W7="D55",W10="Base"),Table4500!$O$9,IF(AND(W7="S25",W10="HD"),Table4500!$S$10,IF(AND(W7="S55",W10="HD"),Table4500!$U$10,IF(AND(W7="S25",W10="Base"),Table4500!$S$9,IF(AND(W7="S55",W10="Base"),Table4500!$U$9,IF(AND(W7="D25",W10="HD",W11="2x I/O"),Table4500!$M$11,IF(AND(W7="D55",W10="HD",W11="2x I/O"),Table4500!$O$11,9999)))))))))))))))</f>
        <v>0</v>
      </c>
      <c r="X16" s="63">
        <f>IF(X6&gt;$F$5,0,IF(AND(X7="L25",X10="HD"),Table4500!$F$10,IF(AND(X7="L55",X10="HD"),Table4500!$K$10,IF(AND(X7="L25",X10="Base"),Table4500!$F$9,IF(AND(X7="L55",X10="Base"),Table4500!$K$9,IF(AND(X7="D25",X10="HD",X11=""),Table4500!$M$10,IF(AND(X7="D55",X10="HD",X11=""),Table4500!$O$10,IF(AND(X7="D25",X10="Base"),Table4500!$M$9,IF(AND(X7="D55",X10="Base"),Table4500!$O$9,IF(AND(X7="S25",X10="HD"),Table4500!$S$10,IF(AND(X7="S55",X10="HD"),Table4500!$U$10,IF(AND(X7="S25",X10="Base"),Table4500!$S$9,IF(AND(X7="S55",X10="Base"),Table4500!$U$9,IF(AND(X7="D25",X10="HD",X11="2x I/O"),Table4500!$M$11,IF(AND(X7="D55",X10="HD",X11="2x I/O"),Table4500!$O$11,9999)))))))))))))))</f>
        <v>0</v>
      </c>
      <c r="Y16" s="63">
        <f>IF(Y6&gt;$F$5,0,IF(AND(Y7="L25",Y10="HD"),Table4500!$F$10,IF(AND(Y7="L55",Y10="HD"),Table4500!$K$10,IF(AND(Y7="L25",Y10="Base"),Table4500!$F$9,IF(AND(Y7="L55",Y10="Base"),Table4500!$K$9,IF(AND(Y7="D25",Y10="HD",Y11=""),Table4500!$M$10,IF(AND(Y7="D55",Y10="HD",Y11=""),Table4500!$O$10,IF(AND(Y7="D25",Y10="Base"),Table4500!$M$9,IF(AND(Y7="D55",Y10="Base"),Table4500!$O$9,IF(AND(Y7="S25",Y10="HD"),Table4500!$S$10,IF(AND(Y7="S55",Y10="HD"),Table4500!$U$10,IF(AND(Y7="S25",Y10="Base"),Table4500!$S$9,IF(AND(Y7="S55",Y10="Base"),Table4500!$U$9,IF(AND(Y7="D25",Y10="HD",Y11="2x I/O"),Table4500!$M$11,IF(AND(Y7="D55",Y10="HD",Y11="2x I/O"),Table4500!$O$11,9999)))))))))))))))</f>
        <v>0</v>
      </c>
      <c r="Z16" s="63">
        <f>IF(Z6&gt;$F$5,0,IF(AND(Z7="L25",Z10="HD"),Table4500!$F$10,IF(AND(Z7="L55",Z10="HD"),Table4500!$K$10,IF(AND(Z7="L25",Z10="Base"),Table4500!$F$9,IF(AND(Z7="L55",Z10="Base"),Table4500!$K$9,IF(AND(Z7="D25",Z10="HD",Z11=""),Table4500!$M$10,IF(AND(Z7="D55",Z10="HD",Z11=""),Table4500!$O$10,IF(AND(Z7="D25",Z10="Base"),Table4500!$M$9,IF(AND(Z7="D55",Z10="Base"),Table4500!$O$9,IF(AND(Z7="S25",Z10="HD"),Table4500!$S$10,IF(AND(Z7="S55",Z10="HD"),Table4500!$U$10,IF(AND(Z7="S25",Z10="Base"),Table4500!$S$9,IF(AND(Z7="S55",Z10="Base"),Table4500!$U$9,IF(AND(Z7="D25",Z10="HD",Z11="2x I/O"),Table4500!$M$11,IF(AND(Z7="D55",Z10="HD",Z11="2x I/O"),Table4500!$O$11,9999)))))))))))))))</f>
        <v>0</v>
      </c>
      <c r="AA16" s="10"/>
      <c r="AB16" s="10"/>
      <c r="AD16" s="4"/>
    </row>
    <row r="17" spans="2:34" ht="15.9" thickBot="1">
      <c r="B17" s="608" t="s">
        <v>542</v>
      </c>
      <c r="C17" s="609"/>
      <c r="D17" s="609"/>
      <c r="E17" s="609"/>
      <c r="F17" s="320" t="b">
        <f ca="1">OR(MATCH($F$10,INDIRECT(INDEX(indirectod4500Frames,F$6)), FALSE), MATCH($F$11,INDIRECT(INDEX(indirectio4500Frames,F$6)), FALSE),J5,K5,L5,M5,N5,O5,P5,Q5,R5,S5,T5,U5,V5,W5,X5,Y5,Z5)</f>
        <v>1</v>
      </c>
      <c r="G17" s="610">
        <f>IF(OR(G5="no HA",M18="HA with maximum capacity (default)"),Table4500!U36+Table4500!U37,IF(AND(G5="HA",M18="HA with overflow capacity"),Table4500!U36+Table4500!U37-Table4500!U34-Table4500!U35,IF(AND(G5="HA",M18="HA without elastic capacity"),Table4500!U36+Table4500!U37-Table4500!U34-Table4500!U35,1)))</f>
        <v>2730</v>
      </c>
      <c r="H17" s="611"/>
      <c r="I17" s="612" t="s">
        <v>545</v>
      </c>
      <c r="J17" s="612"/>
      <c r="K17" s="612"/>
      <c r="L17" s="613"/>
      <c r="M17" s="614">
        <f>IF(OR(G5="no HA",M18="HA with maximum capacity (default)"),Table4500!U36,Table4500!U36-Table4500!U34)</f>
        <v>0</v>
      </c>
      <c r="N17" s="615"/>
      <c r="O17" s="616" t="s">
        <v>543</v>
      </c>
      <c r="P17" s="616"/>
      <c r="Q17" s="616"/>
      <c r="R17" s="617"/>
      <c r="S17" s="618">
        <f>IF(OR(G5="no HA",M18="HA with maximum capacity (default)"),Table4500!U37,Table4500!U37-Table4500!U35)</f>
        <v>2730</v>
      </c>
      <c r="T17" s="619"/>
      <c r="U17" s="708" t="s">
        <v>544</v>
      </c>
      <c r="V17" s="708"/>
      <c r="W17" s="708"/>
      <c r="X17" s="708"/>
      <c r="Y17" s="708"/>
      <c r="Z17" s="709"/>
      <c r="AA17" s="10"/>
      <c r="AB17" s="10"/>
      <c r="AH17" s="360"/>
    </row>
    <row r="18" spans="2:34" ht="16.5" customHeight="1" thickBot="1">
      <c r="B18" s="608" t="str">
        <f>IF(AND(G5="HA",M18="HA with maximum capacity (default)"),"Elastic (non-HA) Capacity",IF(AND(G5="HA",M18="HA with overflow capacity"),"Additional Overflow Capacity",IF(AND(G5="HA",M18="HA without elastic capacity"),"Unused Licensed Capacity"," ")))</f>
        <v>Elastic (non-HA) Capacity</v>
      </c>
      <c r="C18" s="609"/>
      <c r="D18" s="609"/>
      <c r="E18" s="609"/>
      <c r="F18" s="321"/>
      <c r="G18" s="647" t="str">
        <f>IF(M18="HA with maximum capacity (default)",(Table4500!Y23&amp;" %"),IF(OR(M18="HA with overflow capacity",M18="HA without elastic capacity"),(Table4500!U34+Table4500!U35),0))</f>
        <v>33 %</v>
      </c>
      <c r="H18" s="647"/>
      <c r="I18" s="645" t="str">
        <f>IF(AND(G5="HA",M18="HA with maximum capacity (default)"),(Table4500!U34+Table4500!U35)&amp;" of "&amp;Table4500!U38&amp;" slots",IF(AND(G5="HA",OR(M18="HA with overflow capacity",M18="HA without elastic capacity")),"slots out of "&amp;(Table4500!U36+Table4500!U37)&amp;" = "&amp;(Table4500!Y23&amp;" %")," "))</f>
        <v>888 of 2730 slots</v>
      </c>
      <c r="J18" s="645"/>
      <c r="K18" s="645"/>
      <c r="L18" s="646"/>
      <c r="M18" s="639" t="s">
        <v>515</v>
      </c>
      <c r="N18" s="640"/>
      <c r="O18" s="641"/>
      <c r="P18" s="641"/>
      <c r="Q18" s="641"/>
      <c r="R18" s="642"/>
      <c r="S18" s="349" t="str">
        <f>IF(G5="HA","&lt;&lt; Elastic Capacity (EC) can be configured for ""Maximum Capacity"", ""Temporary Overflow"" or ""Do not Use"""," ")</f>
        <v>&lt;&lt; Elastic Capacity (EC) can be configured for "Maximum Capacity", "Temporary Overflow" or "Do not Use"</v>
      </c>
      <c r="T18" s="363"/>
      <c r="U18" s="363"/>
      <c r="V18" s="363"/>
      <c r="W18" s="363"/>
      <c r="X18" s="363"/>
      <c r="Y18" s="363"/>
      <c r="Z18" s="363"/>
    </row>
    <row r="19" spans="2:34">
      <c r="B19" s="643" t="str">
        <f>IF(AND(G5="HA",M18="HA with overflow capacity"),"# of I/O Slots in accessor service areas",IF(AND(G5="HA",M18="HA without elastic capacity"),"# of inactive Slots in acc service areas"," "))</f>
        <v xml:space="preserve"> </v>
      </c>
      <c r="C19" s="644"/>
      <c r="D19" s="644"/>
      <c r="E19" s="644"/>
      <c r="F19" s="648" t="str">
        <f>IF(AND(G5="HA",M18="HA with maximum capacity (default)"),Table4500!U34&amp;" LTO EC slots, "&amp;Table4500!U35&amp;" 3592 EC slots",IF(AND(G5="HA",OR(M18="HA with overflow capacity",M18="HA without elastic capacity")),Table4500!U34&amp;" LTO slots, "&amp;Table4500!U35&amp;" 3592 slots"," "))</f>
        <v>0 LTO EC slots, 888 3592 EC slots</v>
      </c>
      <c r="G19" s="649"/>
      <c r="H19" s="649"/>
      <c r="I19" s="649"/>
      <c r="J19" s="649"/>
      <c r="K19" s="649"/>
      <c r="L19" s="650"/>
      <c r="M19" s="350" t="str">
        <f>IF(AND(G5="HA",M18="HA with maximum capacity (default)"),"EC slots will optionally be made accessible for least recently used media (Note: EC is limited to single accessor access)"," ")</f>
        <v>EC slots will optionally be made accessible for least recently used media (Note: EC is limited to single accessor access)</v>
      </c>
      <c r="N19" s="343"/>
      <c r="O19" s="343"/>
      <c r="P19" s="343"/>
      <c r="Q19" s="343"/>
      <c r="R19" s="343"/>
      <c r="S19" s="344"/>
      <c r="T19" s="344"/>
      <c r="U19" s="362"/>
      <c r="V19" s="362"/>
      <c r="W19" s="362"/>
      <c r="X19" s="362"/>
      <c r="Y19" s="362"/>
      <c r="Z19" s="362"/>
    </row>
    <row r="20" spans="2:34" ht="14.6" thickBot="1">
      <c r="B20" s="65"/>
      <c r="C20" s="6"/>
      <c r="D20" s="6"/>
      <c r="E20" s="6"/>
      <c r="F20" s="66"/>
      <c r="G20" s="67"/>
      <c r="H20" s="67"/>
      <c r="I20" s="68"/>
      <c r="J20" s="6"/>
      <c r="K20" s="6"/>
      <c r="L20" s="6"/>
      <c r="M20" s="142"/>
      <c r="N20" s="143"/>
      <c r="O20" s="6"/>
      <c r="P20" s="6"/>
      <c r="Q20" s="6"/>
      <c r="R20" s="6"/>
      <c r="S20" s="142"/>
      <c r="T20" s="143"/>
      <c r="U20" s="6"/>
      <c r="V20" s="6"/>
      <c r="W20" s="6"/>
      <c r="X20" s="6"/>
      <c r="Y20" s="64"/>
    </row>
    <row r="21" spans="2:34" ht="14.6" customHeight="1" thickTop="1" thickBot="1">
      <c r="B21" s="620" t="s">
        <v>576</v>
      </c>
      <c r="C21" s="621"/>
      <c r="D21" s="621"/>
      <c r="E21" s="622"/>
      <c r="F21" s="625" t="s">
        <v>624</v>
      </c>
      <c r="G21" s="626"/>
      <c r="H21" s="629" t="s">
        <v>577</v>
      </c>
      <c r="I21" s="629"/>
      <c r="J21" s="631" t="s">
        <v>582</v>
      </c>
      <c r="K21" s="632"/>
      <c r="L21" s="635" t="s">
        <v>578</v>
      </c>
      <c r="M21" s="636"/>
      <c r="N21" s="635" t="s">
        <v>579</v>
      </c>
      <c r="O21" s="636"/>
      <c r="P21" s="635" t="s">
        <v>580</v>
      </c>
      <c r="Q21" s="651"/>
      <c r="R21" s="395"/>
      <c r="S21" s="395"/>
      <c r="T21" s="396"/>
      <c r="U21" s="396"/>
      <c r="V21" s="396"/>
      <c r="W21" s="396"/>
      <c r="X21" s="396"/>
      <c r="Y21" s="396"/>
      <c r="Z21" s="396"/>
      <c r="AA21" s="396"/>
      <c r="AB21" s="237"/>
    </row>
    <row r="22" spans="2:34" ht="30.75" customHeight="1" thickBot="1">
      <c r="B22" s="623"/>
      <c r="C22" s="623"/>
      <c r="D22" s="623"/>
      <c r="E22" s="624"/>
      <c r="F22" s="627"/>
      <c r="G22" s="628"/>
      <c r="H22" s="630"/>
      <c r="I22" s="630"/>
      <c r="J22" s="633"/>
      <c r="K22" s="634"/>
      <c r="L22" s="637"/>
      <c r="M22" s="638"/>
      <c r="N22" s="637"/>
      <c r="O22" s="638"/>
      <c r="P22" s="637"/>
      <c r="Q22" s="652"/>
      <c r="R22" s="395"/>
      <c r="S22" s="395"/>
      <c r="T22" s="396"/>
      <c r="U22" s="396"/>
      <c r="V22" s="396"/>
      <c r="W22" s="396"/>
      <c r="X22" s="396"/>
      <c r="Y22" s="396"/>
      <c r="Z22" s="396"/>
      <c r="AA22" s="396"/>
      <c r="AB22" s="237"/>
    </row>
    <row r="23" spans="2:34" ht="15" thickTop="1" thickBot="1">
      <c r="B23" s="667" t="s">
        <v>178</v>
      </c>
      <c r="C23" s="580"/>
      <c r="D23" s="580"/>
      <c r="E23" s="581"/>
      <c r="F23" s="703">
        <f>ROUNDDOWN(18000*$M$17*VLOOKUP($B23,Names!$C$209:$D$213,2,FALSE)/1000,0)</f>
        <v>0</v>
      </c>
      <c r="G23" s="704" t="e">
        <f>ROUNDDOWN(800*#REF!/1000,0)</f>
        <v>#REF!</v>
      </c>
      <c r="H23" s="703">
        <f>ROUNDDOWN(12000*$M$17*VLOOKUP($B23,Names!$C$209:$D$213,2,FALSE)/1000,0)</f>
        <v>0</v>
      </c>
      <c r="I23" s="704" t="e">
        <f>ROUNDDOWN(800*#REF!/1000,0)</f>
        <v>#REF!</v>
      </c>
      <c r="J23" s="703">
        <f>ROUNDDOWN(9000*$M$17*VLOOKUP($B23,Names!$C$209:$D$213,2,FALSE)/1000,0)</f>
        <v>0</v>
      </c>
      <c r="K23" s="704" t="e">
        <f>ROUNDDOWN(800*#REF!/1000,0)</f>
        <v>#REF!</v>
      </c>
      <c r="L23" s="723">
        <f>ROUNDDOWN(6000*$M$17*VLOOKUP($B23,Names!$C$209:$D$213,2,FALSE)/1000,0)</f>
        <v>0</v>
      </c>
      <c r="M23" s="703" t="e">
        <f>ROUNDDOWN(800*#REF!/1000,0)</f>
        <v>#REF!</v>
      </c>
      <c r="N23" s="723">
        <f>ROUNDDOWN(2500*$M$17*VLOOKUP($B23,Names!$C$209:$D$213,2,FALSE)/1000,0)</f>
        <v>0</v>
      </c>
      <c r="O23" s="703"/>
      <c r="P23" s="723">
        <f>ROUNDDOWN(1500*$M$17*VLOOKUP($B23,Names!$C$209:$D$213,2,FALSE)/1000,0)</f>
        <v>0</v>
      </c>
      <c r="Q23" s="735"/>
      <c r="R23" s="388"/>
      <c r="S23" s="388"/>
      <c r="T23" s="153"/>
      <c r="U23" s="153"/>
      <c r="V23" s="153"/>
      <c r="W23" s="153"/>
      <c r="X23" s="153"/>
      <c r="Y23" s="153"/>
      <c r="Z23" s="153"/>
      <c r="AA23" s="153"/>
      <c r="AE23" s="351"/>
    </row>
    <row r="24" spans="2:34" ht="15" thickTop="1" thickBot="1">
      <c r="B24" s="205"/>
      <c r="C24" s="205"/>
      <c r="D24" s="205"/>
      <c r="E24" s="205"/>
      <c r="F24" s="397"/>
      <c r="G24" s="398"/>
      <c r="H24" s="398"/>
      <c r="I24" s="204"/>
      <c r="J24" s="204"/>
      <c r="K24" s="204"/>
      <c r="L24" s="204"/>
      <c r="M24" s="204"/>
      <c r="N24" s="204"/>
      <c r="O24" s="204"/>
      <c r="P24" s="389"/>
      <c r="Q24" s="389"/>
      <c r="R24" s="389"/>
      <c r="S24" s="70"/>
      <c r="T24" s="10"/>
      <c r="U24" s="10"/>
      <c r="V24" s="10"/>
      <c r="W24" s="10"/>
      <c r="X24" s="10"/>
      <c r="Y24" s="10"/>
      <c r="Z24" s="10"/>
      <c r="AA24" s="10"/>
    </row>
    <row r="25" spans="2:34" ht="13.3" thickTop="1" thickBot="1">
      <c r="B25" s="653" t="s">
        <v>581</v>
      </c>
      <c r="C25" s="654"/>
      <c r="D25" s="654"/>
      <c r="E25" s="655"/>
      <c r="F25" s="656"/>
      <c r="G25" s="657"/>
      <c r="H25" s="658"/>
      <c r="I25" s="659" t="s">
        <v>634</v>
      </c>
      <c r="J25" s="660"/>
      <c r="K25" s="661"/>
      <c r="L25" s="662"/>
      <c r="M25" s="659" t="s">
        <v>617</v>
      </c>
      <c r="N25" s="660"/>
      <c r="O25" s="661"/>
      <c r="P25" s="662"/>
      <c r="Q25" s="663" t="s">
        <v>600</v>
      </c>
      <c r="R25" s="664"/>
      <c r="S25" s="665"/>
      <c r="T25" s="666"/>
      <c r="U25" s="659" t="s">
        <v>601</v>
      </c>
      <c r="V25" s="660"/>
      <c r="W25" s="661"/>
      <c r="X25" s="736"/>
      <c r="Y25" s="380"/>
      <c r="Z25" s="551"/>
      <c r="AA25" s="381"/>
      <c r="AB25" s="381"/>
    </row>
    <row r="26" spans="2:34" ht="13.5" customHeight="1" thickBot="1">
      <c r="B26" s="654"/>
      <c r="C26" s="654"/>
      <c r="D26" s="654"/>
      <c r="E26" s="655"/>
      <c r="F26" s="724" t="s">
        <v>298</v>
      </c>
      <c r="G26" s="725"/>
      <c r="H26" s="726"/>
      <c r="I26" s="727" t="s">
        <v>547</v>
      </c>
      <c r="J26" s="728"/>
      <c r="K26" s="731" t="s">
        <v>559</v>
      </c>
      <c r="L26" s="732"/>
      <c r="M26" s="727" t="s">
        <v>547</v>
      </c>
      <c r="N26" s="728"/>
      <c r="O26" s="731" t="s">
        <v>559</v>
      </c>
      <c r="P26" s="732"/>
      <c r="Q26" s="727" t="s">
        <v>547</v>
      </c>
      <c r="R26" s="728"/>
      <c r="S26" s="731" t="s">
        <v>559</v>
      </c>
      <c r="T26" s="732"/>
      <c r="U26" s="727" t="s">
        <v>547</v>
      </c>
      <c r="V26" s="728"/>
      <c r="W26" s="731" t="s">
        <v>296</v>
      </c>
      <c r="X26" s="737"/>
      <c r="Y26" s="383"/>
      <c r="Z26" s="382"/>
      <c r="AA26" s="383"/>
      <c r="AB26" s="383"/>
    </row>
    <row r="27" spans="2:34" ht="12.9" thickBot="1">
      <c r="B27" s="654"/>
      <c r="C27" s="654"/>
      <c r="D27" s="654"/>
      <c r="E27" s="655"/>
      <c r="F27" s="721" t="s">
        <v>297</v>
      </c>
      <c r="G27" s="722"/>
      <c r="H27" s="365" t="s">
        <v>583</v>
      </c>
      <c r="I27" s="729"/>
      <c r="J27" s="730"/>
      <c r="K27" s="733"/>
      <c r="L27" s="734"/>
      <c r="M27" s="729"/>
      <c r="N27" s="730"/>
      <c r="O27" s="733"/>
      <c r="P27" s="734"/>
      <c r="Q27" s="729"/>
      <c r="R27" s="730"/>
      <c r="S27" s="733"/>
      <c r="T27" s="734"/>
      <c r="U27" s="729"/>
      <c r="V27" s="730"/>
      <c r="W27" s="733"/>
      <c r="X27" s="738"/>
      <c r="Y27" s="382"/>
      <c r="Z27" s="382"/>
      <c r="AA27" s="383"/>
      <c r="AB27" s="383"/>
    </row>
    <row r="28" spans="2:34" ht="13.3" thickTop="1" thickBot="1">
      <c r="B28" s="668" t="s">
        <v>178</v>
      </c>
      <c r="C28" s="669"/>
      <c r="D28" s="669"/>
      <c r="E28" s="670"/>
      <c r="F28" s="701" t="s">
        <v>632</v>
      </c>
      <c r="G28" s="702"/>
      <c r="H28" s="366" t="s">
        <v>633</v>
      </c>
      <c r="I28" s="742">
        <v>50000</v>
      </c>
      <c r="J28" s="743"/>
      <c r="K28" s="747">
        <f>ROUNDDOWN(I28*$S$17*VLOOKUP($B$28,Names!$C$209:$D$213,2,FALSE)/1000,0)</f>
        <v>136500</v>
      </c>
      <c r="L28" s="748"/>
      <c r="M28" s="744" t="s">
        <v>285</v>
      </c>
      <c r="N28" s="745"/>
      <c r="O28" s="745"/>
      <c r="P28" s="746"/>
      <c r="Q28" s="744" t="s">
        <v>285</v>
      </c>
      <c r="R28" s="745"/>
      <c r="S28" s="745"/>
      <c r="T28" s="746"/>
      <c r="U28" s="739" t="s">
        <v>285</v>
      </c>
      <c r="V28" s="740"/>
      <c r="W28" s="740"/>
      <c r="X28" s="741"/>
      <c r="Y28" s="384"/>
      <c r="Z28" s="381"/>
      <c r="AA28" s="381"/>
      <c r="AB28" s="381"/>
    </row>
    <row r="29" spans="2:34" ht="12.9" thickBot="1">
      <c r="B29" s="671"/>
      <c r="C29" s="672"/>
      <c r="D29" s="672"/>
      <c r="E29" s="673"/>
      <c r="F29" s="701" t="s">
        <v>606</v>
      </c>
      <c r="G29" s="702"/>
      <c r="H29" s="366" t="s">
        <v>604</v>
      </c>
      <c r="I29" s="705" t="s">
        <v>631</v>
      </c>
      <c r="J29" s="706"/>
      <c r="K29" s="706"/>
      <c r="L29" s="707"/>
      <c r="M29" s="742">
        <v>20000</v>
      </c>
      <c r="N29" s="743"/>
      <c r="O29" s="747">
        <f>ROUNDDOWN(M29*$S$17*VLOOKUP($B$28,Names!$C$209:$D$213,2,FALSE)/1000,0)</f>
        <v>54600</v>
      </c>
      <c r="P29" s="748"/>
      <c r="Q29" s="744" t="s">
        <v>285</v>
      </c>
      <c r="R29" s="745"/>
      <c r="S29" s="745"/>
      <c r="T29" s="746"/>
      <c r="U29" s="739" t="s">
        <v>285</v>
      </c>
      <c r="V29" s="740"/>
      <c r="W29" s="740"/>
      <c r="X29" s="741"/>
      <c r="Y29" s="384"/>
      <c r="Z29" s="381"/>
      <c r="AA29" s="381"/>
      <c r="AB29" s="381"/>
    </row>
    <row r="30" spans="2:34" ht="12.9" thickBot="1">
      <c r="B30" s="671"/>
      <c r="C30" s="672"/>
      <c r="D30" s="672"/>
      <c r="E30" s="673"/>
      <c r="F30" s="701" t="s">
        <v>607</v>
      </c>
      <c r="G30" s="702"/>
      <c r="H30" s="366" t="s">
        <v>604</v>
      </c>
      <c r="I30" s="705" t="s">
        <v>631</v>
      </c>
      <c r="J30" s="706"/>
      <c r="K30" s="706"/>
      <c r="L30" s="707"/>
      <c r="M30" s="742">
        <v>5000</v>
      </c>
      <c r="N30" s="743"/>
      <c r="O30" s="747">
        <f>ROUNDDOWN(M30*$S$17*VLOOKUP($B$28,Names!$C$209:$D$213,2,FALSE)/1000,0)</f>
        <v>13650</v>
      </c>
      <c r="P30" s="748"/>
      <c r="Q30" s="744" t="s">
        <v>285</v>
      </c>
      <c r="R30" s="745"/>
      <c r="S30" s="745"/>
      <c r="T30" s="746"/>
      <c r="U30" s="739" t="s">
        <v>285</v>
      </c>
      <c r="V30" s="740"/>
      <c r="W30" s="740"/>
      <c r="X30" s="741"/>
      <c r="Y30" s="384"/>
      <c r="Z30" s="381"/>
      <c r="AA30" s="381"/>
      <c r="AB30" s="381"/>
    </row>
    <row r="31" spans="2:34" ht="12.9" thickBot="1">
      <c r="B31" s="671"/>
      <c r="C31" s="672"/>
      <c r="D31" s="672"/>
      <c r="E31" s="673"/>
      <c r="F31" s="701" t="s">
        <v>330</v>
      </c>
      <c r="G31" s="702"/>
      <c r="H31" s="366" t="s">
        <v>334</v>
      </c>
      <c r="I31" s="705" t="s">
        <v>631</v>
      </c>
      <c r="J31" s="706"/>
      <c r="K31" s="706"/>
      <c r="L31" s="707"/>
      <c r="M31" s="742">
        <v>15000</v>
      </c>
      <c r="N31" s="743"/>
      <c r="O31" s="747">
        <f>ROUNDDOWN(M31*$S$17*VLOOKUP($B$28,Names!$C$209:$D$213,2,FALSE)/1000,0)</f>
        <v>40950</v>
      </c>
      <c r="P31" s="748"/>
      <c r="Q31" s="373">
        <v>10000</v>
      </c>
      <c r="R31" s="373">
        <v>15000</v>
      </c>
      <c r="S31" s="374">
        <f>ROUNDDOWN(Q31*$S$17*VLOOKUP($B$28,Names!$C$209:$D$213,2,FALSE)/1000,0)</f>
        <v>27300</v>
      </c>
      <c r="T31" s="375">
        <f>ROUNDDOWN(R31*$S$17*VLOOKUP($B$28,Names!$C$209:$D$213,2,FALSE)/1000,0)</f>
        <v>40950</v>
      </c>
      <c r="U31" s="739" t="s">
        <v>285</v>
      </c>
      <c r="V31" s="740"/>
      <c r="W31" s="740"/>
      <c r="X31" s="741"/>
      <c r="Y31" s="384"/>
      <c r="Z31" s="381"/>
      <c r="AA31" s="381"/>
      <c r="AB31" s="381"/>
    </row>
    <row r="32" spans="2:34" ht="12.9" thickBot="1">
      <c r="B32" s="671"/>
      <c r="C32" s="672"/>
      <c r="D32" s="672"/>
      <c r="E32" s="673"/>
      <c r="F32" s="701" t="s">
        <v>331</v>
      </c>
      <c r="G32" s="702"/>
      <c r="H32" s="366" t="s">
        <v>334</v>
      </c>
      <c r="I32" s="705" t="s">
        <v>631</v>
      </c>
      <c r="J32" s="706"/>
      <c r="K32" s="706"/>
      <c r="L32" s="707"/>
      <c r="M32" s="742">
        <v>3000</v>
      </c>
      <c r="N32" s="743"/>
      <c r="O32" s="747">
        <f>ROUNDDOWN(M32*$S$17*VLOOKUP($B$28,Names!$C$209:$D$213,2,FALSE)/1000,0)</f>
        <v>8190</v>
      </c>
      <c r="P32" s="748"/>
      <c r="Q32" s="373">
        <v>2000</v>
      </c>
      <c r="R32" s="373">
        <v>3000</v>
      </c>
      <c r="S32" s="374">
        <f>ROUNDDOWN(Q32*$S$17*VLOOKUP($B$28,Names!$C$209:$D$213,2,FALSE)/1000,0)</f>
        <v>5460</v>
      </c>
      <c r="T32" s="375">
        <f>ROUNDDOWN(R32*$S$17*VLOOKUP($B$28,Names!$C$209:$D$213,2,FALSE)/1000,0)</f>
        <v>8190</v>
      </c>
      <c r="U32" s="739" t="s">
        <v>285</v>
      </c>
      <c r="V32" s="740"/>
      <c r="W32" s="740"/>
      <c r="X32" s="741"/>
      <c r="Y32" s="384"/>
      <c r="Z32" s="381"/>
      <c r="AA32" s="381"/>
      <c r="AB32" s="381"/>
    </row>
    <row r="33" spans="2:28" ht="14.15">
      <c r="B33" s="671"/>
      <c r="C33" s="672"/>
      <c r="D33" s="672"/>
      <c r="E33" s="673"/>
      <c r="F33" s="677" t="s">
        <v>284</v>
      </c>
      <c r="G33" s="678"/>
      <c r="H33" s="367" t="s">
        <v>334</v>
      </c>
      <c r="I33" s="705" t="s">
        <v>631</v>
      </c>
      <c r="J33" s="706"/>
      <c r="K33" s="706"/>
      <c r="L33" s="707"/>
      <c r="M33" s="681">
        <v>7000</v>
      </c>
      <c r="N33" s="682"/>
      <c r="O33" s="683">
        <f>ROUNDDOWN(M33*$S$17*VLOOKUP($B$28,Names!$C$209:$D$213,2,FALSE)/1000,0)</f>
        <v>19110</v>
      </c>
      <c r="P33" s="684" t="e">
        <v>#REF!</v>
      </c>
      <c r="Q33" s="681">
        <v>7000</v>
      </c>
      <c r="R33" s="682"/>
      <c r="S33" s="683">
        <f>ROUNDDOWN(Q33*$S$17*VLOOKUP($B$28,Names!$C$209:$D$213,2,FALSE)/1000,0)</f>
        <v>19110</v>
      </c>
      <c r="T33" s="684" t="e">
        <v>#REF!</v>
      </c>
      <c r="U33" s="688" t="s">
        <v>285</v>
      </c>
      <c r="V33" s="690"/>
      <c r="W33" s="690"/>
      <c r="X33" s="781"/>
      <c r="Y33" s="384"/>
      <c r="Z33" s="381"/>
      <c r="AA33" s="381"/>
      <c r="AB33" s="381"/>
    </row>
    <row r="34" spans="2:28" ht="14.6" thickBot="1">
      <c r="B34" s="671"/>
      <c r="C34" s="672"/>
      <c r="D34" s="672"/>
      <c r="E34" s="673"/>
      <c r="F34" s="679"/>
      <c r="G34" s="680"/>
      <c r="H34" s="368" t="s">
        <v>293</v>
      </c>
      <c r="I34" s="705"/>
      <c r="J34" s="706"/>
      <c r="K34" s="706"/>
      <c r="L34" s="707"/>
      <c r="M34" s="698" t="s">
        <v>616</v>
      </c>
      <c r="N34" s="699"/>
      <c r="O34" s="699"/>
      <c r="P34" s="700"/>
      <c r="Q34" s="698">
        <v>4000</v>
      </c>
      <c r="R34" s="720"/>
      <c r="S34" s="717">
        <f>ROUNDDOWN(Q34*$S$17*VLOOKUP($B$28,Names!$C$209:$D$213,2,FALSE)/1000,0)</f>
        <v>10920</v>
      </c>
      <c r="T34" s="718" t="e">
        <v>#REF!</v>
      </c>
      <c r="U34" s="782">
        <v>4000</v>
      </c>
      <c r="V34" s="783"/>
      <c r="W34" s="784">
        <f>ROUNDDOWN(U34*$S$17*VLOOKUP($B$28,Names!$C$209:$D$213,2,FALSE)/1000,0)</f>
        <v>10920</v>
      </c>
      <c r="X34" s="785" t="e">
        <v>#REF!</v>
      </c>
      <c r="Y34" s="384"/>
      <c r="Z34" s="381"/>
      <c r="AA34" s="381"/>
      <c r="AB34" s="381"/>
    </row>
    <row r="35" spans="2:28" ht="14.15">
      <c r="B35" s="671"/>
      <c r="C35" s="672"/>
      <c r="D35" s="672"/>
      <c r="E35" s="673"/>
      <c r="F35" s="677" t="s">
        <v>286</v>
      </c>
      <c r="G35" s="678"/>
      <c r="H35" s="369" t="s">
        <v>334</v>
      </c>
      <c r="I35" s="705" t="s">
        <v>631</v>
      </c>
      <c r="J35" s="706"/>
      <c r="K35" s="706"/>
      <c r="L35" s="707"/>
      <c r="M35" s="681">
        <v>900</v>
      </c>
      <c r="N35" s="682"/>
      <c r="O35" s="683">
        <f>ROUNDDOWN(M35*$S$17*VLOOKUP($B$28,Names!$C$209:$D$213,2,FALSE)/1000,0)</f>
        <v>2457</v>
      </c>
      <c r="P35" s="684" t="e">
        <v>#REF!</v>
      </c>
      <c r="Q35" s="681">
        <v>900</v>
      </c>
      <c r="R35" s="682"/>
      <c r="S35" s="683">
        <f>ROUNDDOWN(Q35*$S$17*VLOOKUP($B$28,Names!$C$209:$D$213,2,FALSE)/1000,0)</f>
        <v>2457</v>
      </c>
      <c r="T35" s="684" t="e">
        <v>#REF!</v>
      </c>
      <c r="U35" s="688" t="s">
        <v>285</v>
      </c>
      <c r="V35" s="690"/>
      <c r="W35" s="690"/>
      <c r="X35" s="781"/>
      <c r="Y35" s="384"/>
      <c r="Z35" s="381"/>
      <c r="AA35" s="381"/>
      <c r="AB35" s="381"/>
    </row>
    <row r="36" spans="2:28" ht="14.6" thickBot="1">
      <c r="B36" s="671"/>
      <c r="C36" s="672"/>
      <c r="D36" s="672"/>
      <c r="E36" s="673"/>
      <c r="F36" s="679"/>
      <c r="G36" s="680"/>
      <c r="H36" s="368" t="s">
        <v>293</v>
      </c>
      <c r="I36" s="705"/>
      <c r="J36" s="706"/>
      <c r="K36" s="706"/>
      <c r="L36" s="707"/>
      <c r="M36" s="698" t="s">
        <v>615</v>
      </c>
      <c r="N36" s="699"/>
      <c r="O36" s="699"/>
      <c r="P36" s="700"/>
      <c r="Q36" s="698">
        <v>500</v>
      </c>
      <c r="R36" s="720"/>
      <c r="S36" s="717">
        <f>ROUNDDOWN(Q36*$S$17*VLOOKUP($B$28,Names!$C$209:$D$213,2,FALSE)/1000,0)</f>
        <v>1365</v>
      </c>
      <c r="T36" s="718" t="e">
        <v>#REF!</v>
      </c>
      <c r="U36" s="786">
        <v>500</v>
      </c>
      <c r="V36" s="787"/>
      <c r="W36" s="788">
        <f>ROUNDDOWN(U36*$S$17*VLOOKUP($B$28,Names!$C$209:$D$213,2,FALSE)/1000,0)</f>
        <v>1365</v>
      </c>
      <c r="X36" s="789" t="e">
        <v>#REF!</v>
      </c>
      <c r="Y36" s="384"/>
      <c r="Z36" s="381"/>
      <c r="AA36" s="381"/>
      <c r="AB36" s="381"/>
    </row>
    <row r="37" spans="2:28" ht="14.15">
      <c r="B37" s="671"/>
      <c r="C37" s="672"/>
      <c r="D37" s="672"/>
      <c r="E37" s="673"/>
      <c r="F37" s="685" t="s">
        <v>182</v>
      </c>
      <c r="G37" s="685"/>
      <c r="H37" s="369" t="s">
        <v>293</v>
      </c>
      <c r="I37" s="790" t="s">
        <v>285</v>
      </c>
      <c r="J37" s="791"/>
      <c r="K37" s="792"/>
      <c r="L37" s="792"/>
      <c r="M37" s="688" t="s">
        <v>285</v>
      </c>
      <c r="N37" s="689"/>
      <c r="O37" s="690"/>
      <c r="P37" s="690"/>
      <c r="Q37" s="688" t="s">
        <v>285</v>
      </c>
      <c r="R37" s="689"/>
      <c r="S37" s="690"/>
      <c r="T37" s="690"/>
      <c r="U37" s="769">
        <v>1600</v>
      </c>
      <c r="V37" s="770" t="s">
        <v>287</v>
      </c>
      <c r="W37" s="771">
        <f>ROUNDDOWN(U37*$S$17*VLOOKUP($B$28,Names!$C$209:$D$213,2,FALSE)/1000,0)</f>
        <v>4368</v>
      </c>
      <c r="X37" s="772" t="e">
        <v>#REF!</v>
      </c>
      <c r="Y37" s="384"/>
      <c r="Z37" s="384"/>
      <c r="AA37" s="381"/>
      <c r="AB37" s="381"/>
    </row>
    <row r="38" spans="2:28" ht="14.15">
      <c r="B38" s="671"/>
      <c r="C38" s="672"/>
      <c r="D38" s="672"/>
      <c r="E38" s="673"/>
      <c r="F38" s="686"/>
      <c r="G38" s="686"/>
      <c r="H38" s="370" t="s">
        <v>294</v>
      </c>
      <c r="I38" s="793"/>
      <c r="J38" s="794"/>
      <c r="K38" s="795"/>
      <c r="L38" s="795"/>
      <c r="M38" s="691"/>
      <c r="N38" s="692"/>
      <c r="O38" s="693"/>
      <c r="P38" s="693"/>
      <c r="Q38" s="691"/>
      <c r="R38" s="692"/>
      <c r="S38" s="693"/>
      <c r="T38" s="693"/>
      <c r="U38" s="773">
        <v>1000</v>
      </c>
      <c r="V38" s="774" t="s">
        <v>288</v>
      </c>
      <c r="W38" s="775">
        <f>ROUNDDOWN(U38*$S$17*VLOOKUP($B$28,Names!$C$209:$D$213,2,FALSE)/1000,0)</f>
        <v>2730</v>
      </c>
      <c r="X38" s="776" t="e">
        <v>#REF!</v>
      </c>
      <c r="Y38" s="384"/>
      <c r="Z38" s="384"/>
      <c r="AA38" s="381"/>
      <c r="AB38" s="381"/>
    </row>
    <row r="39" spans="2:28" ht="14.6" thickBot="1">
      <c r="B39" s="671"/>
      <c r="C39" s="672"/>
      <c r="D39" s="672"/>
      <c r="E39" s="673"/>
      <c r="F39" s="687"/>
      <c r="G39" s="687"/>
      <c r="H39" s="371" t="s">
        <v>301</v>
      </c>
      <c r="I39" s="796"/>
      <c r="J39" s="797"/>
      <c r="K39" s="798"/>
      <c r="L39" s="799"/>
      <c r="M39" s="694"/>
      <c r="N39" s="695"/>
      <c r="O39" s="696"/>
      <c r="P39" s="697"/>
      <c r="Q39" s="694"/>
      <c r="R39" s="695"/>
      <c r="S39" s="696"/>
      <c r="T39" s="697"/>
      <c r="U39" s="777">
        <v>700</v>
      </c>
      <c r="V39" s="778" t="s">
        <v>289</v>
      </c>
      <c r="W39" s="779">
        <f>ROUNDDOWN(U39*$S$17*VLOOKUP($B$28,Names!$C$209:$D$213,2,FALSE)/1000,0)</f>
        <v>1911</v>
      </c>
      <c r="X39" s="780" t="e">
        <v>#REF!</v>
      </c>
      <c r="Y39" s="384"/>
      <c r="Z39" s="384"/>
      <c r="AA39" s="381"/>
      <c r="AB39" s="381"/>
    </row>
    <row r="40" spans="2:28">
      <c r="B40" s="671"/>
      <c r="C40" s="672"/>
      <c r="D40" s="672"/>
      <c r="E40" s="673"/>
      <c r="F40" s="685" t="s">
        <v>292</v>
      </c>
      <c r="G40" s="685"/>
      <c r="H40" s="369" t="s">
        <v>294</v>
      </c>
      <c r="I40" s="688" t="s">
        <v>285</v>
      </c>
      <c r="J40" s="689"/>
      <c r="K40" s="690"/>
      <c r="L40" s="711"/>
      <c r="M40" s="688" t="s">
        <v>285</v>
      </c>
      <c r="N40" s="689"/>
      <c r="O40" s="690"/>
      <c r="P40" s="711"/>
      <c r="Q40" s="688" t="s">
        <v>285</v>
      </c>
      <c r="R40" s="689"/>
      <c r="S40" s="690"/>
      <c r="T40" s="711"/>
      <c r="U40" s="749" t="s">
        <v>591</v>
      </c>
      <c r="V40" s="750"/>
      <c r="W40" s="751"/>
      <c r="X40" s="752"/>
      <c r="Y40" s="384"/>
      <c r="Z40" s="384"/>
      <c r="AA40" s="381"/>
      <c r="AB40" s="381"/>
    </row>
    <row r="41" spans="2:28" ht="14.15" customHeight="1">
      <c r="B41" s="671"/>
      <c r="C41" s="672"/>
      <c r="D41" s="672"/>
      <c r="E41" s="673"/>
      <c r="F41" s="686"/>
      <c r="G41" s="686"/>
      <c r="H41" s="370" t="s">
        <v>301</v>
      </c>
      <c r="I41" s="691"/>
      <c r="J41" s="692"/>
      <c r="K41" s="693"/>
      <c r="L41" s="712"/>
      <c r="M41" s="691"/>
      <c r="N41" s="692"/>
      <c r="O41" s="693"/>
      <c r="P41" s="712"/>
      <c r="Q41" s="691"/>
      <c r="R41" s="692"/>
      <c r="S41" s="693"/>
      <c r="T41" s="712"/>
      <c r="U41" s="753"/>
      <c r="V41" s="754"/>
      <c r="W41" s="755"/>
      <c r="X41" s="756"/>
      <c r="Y41" s="384"/>
      <c r="Z41" s="384"/>
      <c r="AA41" s="381"/>
      <c r="AB41" s="381"/>
    </row>
    <row r="42" spans="2:28" ht="14.6" thickBot="1">
      <c r="B42" s="671"/>
      <c r="C42" s="672"/>
      <c r="D42" s="672"/>
      <c r="E42" s="673"/>
      <c r="F42" s="687"/>
      <c r="G42" s="687"/>
      <c r="H42" s="371" t="s">
        <v>295</v>
      </c>
      <c r="I42" s="694"/>
      <c r="J42" s="695"/>
      <c r="K42" s="696"/>
      <c r="L42" s="719"/>
      <c r="M42" s="694"/>
      <c r="N42" s="695"/>
      <c r="O42" s="696"/>
      <c r="P42" s="719"/>
      <c r="Q42" s="694"/>
      <c r="R42" s="695"/>
      <c r="S42" s="696"/>
      <c r="T42" s="719"/>
      <c r="U42" s="757"/>
      <c r="V42" s="758"/>
      <c r="W42" s="759"/>
      <c r="X42" s="760"/>
      <c r="Y42" s="385"/>
      <c r="Z42" s="387"/>
      <c r="AA42" s="386"/>
      <c r="AB42" s="386"/>
    </row>
    <row r="43" spans="2:28">
      <c r="B43" s="671"/>
      <c r="C43" s="672"/>
      <c r="D43" s="672"/>
      <c r="E43" s="673"/>
      <c r="F43" s="685" t="s">
        <v>184</v>
      </c>
      <c r="G43" s="685"/>
      <c r="H43" s="369" t="s">
        <v>294</v>
      </c>
      <c r="I43" s="688" t="s">
        <v>285</v>
      </c>
      <c r="J43" s="689"/>
      <c r="K43" s="690"/>
      <c r="L43" s="711"/>
      <c r="M43" s="688" t="s">
        <v>285</v>
      </c>
      <c r="N43" s="689"/>
      <c r="O43" s="690"/>
      <c r="P43" s="711"/>
      <c r="Q43" s="688" t="s">
        <v>285</v>
      </c>
      <c r="R43" s="689"/>
      <c r="S43" s="690"/>
      <c r="T43" s="711"/>
      <c r="U43" s="761" t="s">
        <v>591</v>
      </c>
      <c r="V43" s="762"/>
      <c r="W43" s="763"/>
      <c r="X43" s="764"/>
      <c r="Y43" s="384"/>
      <c r="Z43" s="384"/>
      <c r="AA43" s="381"/>
      <c r="AB43" s="381"/>
    </row>
    <row r="44" spans="2:28" ht="14.15" customHeight="1">
      <c r="B44" s="671"/>
      <c r="C44" s="672"/>
      <c r="D44" s="672"/>
      <c r="E44" s="673"/>
      <c r="F44" s="686"/>
      <c r="G44" s="686"/>
      <c r="H44" s="370" t="s">
        <v>301</v>
      </c>
      <c r="I44" s="691"/>
      <c r="J44" s="692"/>
      <c r="K44" s="693"/>
      <c r="L44" s="712"/>
      <c r="M44" s="691"/>
      <c r="N44" s="692"/>
      <c r="O44" s="693"/>
      <c r="P44" s="712"/>
      <c r="Q44" s="691"/>
      <c r="R44" s="692"/>
      <c r="S44" s="693"/>
      <c r="T44" s="712"/>
      <c r="U44" s="753"/>
      <c r="V44" s="754"/>
      <c r="W44" s="755"/>
      <c r="X44" s="756"/>
      <c r="Y44" s="384"/>
      <c r="Z44" s="384"/>
      <c r="AA44" s="381"/>
      <c r="AB44" s="381"/>
    </row>
    <row r="45" spans="2:28" ht="14.6" thickBot="1">
      <c r="B45" s="674"/>
      <c r="C45" s="675"/>
      <c r="D45" s="675"/>
      <c r="E45" s="676"/>
      <c r="F45" s="710"/>
      <c r="G45" s="710"/>
      <c r="H45" s="372" t="s">
        <v>295</v>
      </c>
      <c r="I45" s="713"/>
      <c r="J45" s="714"/>
      <c r="K45" s="715"/>
      <c r="L45" s="716"/>
      <c r="M45" s="713"/>
      <c r="N45" s="714"/>
      <c r="O45" s="715"/>
      <c r="P45" s="716"/>
      <c r="Q45" s="713"/>
      <c r="R45" s="714"/>
      <c r="S45" s="715"/>
      <c r="T45" s="716"/>
      <c r="U45" s="765"/>
      <c r="V45" s="766"/>
      <c r="W45" s="767"/>
      <c r="X45" s="768"/>
      <c r="Y45" s="385"/>
      <c r="Z45" s="387"/>
      <c r="AA45" s="386"/>
      <c r="AB45" s="386"/>
    </row>
    <row r="46" spans="2:28" ht="12.9" thickTop="1"/>
  </sheetData>
  <sheetProtection algorithmName="SHA-512" hashValue="vKrZkqm8FyE47s/xnUZ795TRKgB/FSGIfUiJMXOh9sIxF22vXz0MvFqq4yeHsUl66govRzqE1+JaKzCt+8zgag==" saltValue="9rZokeSKKTW5gp4MghrcGA==" spinCount="100000" sheet="1" objects="1" scenarios="1"/>
  <dataConsolidate/>
  <mergeCells count="138">
    <mergeCell ref="I25:L25"/>
    <mergeCell ref="I26:J27"/>
    <mergeCell ref="K26:L27"/>
    <mergeCell ref="I37:L39"/>
    <mergeCell ref="I40:L42"/>
    <mergeCell ref="I43:L45"/>
    <mergeCell ref="Q29:T29"/>
    <mergeCell ref="F29:G29"/>
    <mergeCell ref="M29:N29"/>
    <mergeCell ref="O29:P29"/>
    <mergeCell ref="I29:L29"/>
    <mergeCell ref="I28:J28"/>
    <mergeCell ref="K28:L28"/>
    <mergeCell ref="M28:P28"/>
    <mergeCell ref="U40:X42"/>
    <mergeCell ref="U43:X45"/>
    <mergeCell ref="Q33:R33"/>
    <mergeCell ref="S33:T33"/>
    <mergeCell ref="Q35:R35"/>
    <mergeCell ref="S35:T35"/>
    <mergeCell ref="Q37:T39"/>
    <mergeCell ref="U37:V37"/>
    <mergeCell ref="W37:X37"/>
    <mergeCell ref="U38:V38"/>
    <mergeCell ref="W38:X38"/>
    <mergeCell ref="U39:V39"/>
    <mergeCell ref="W39:X39"/>
    <mergeCell ref="U33:X33"/>
    <mergeCell ref="U34:V34"/>
    <mergeCell ref="W34:X34"/>
    <mergeCell ref="U35:X35"/>
    <mergeCell ref="U36:V36"/>
    <mergeCell ref="W36:X36"/>
    <mergeCell ref="U25:X25"/>
    <mergeCell ref="U26:V27"/>
    <mergeCell ref="W26:X27"/>
    <mergeCell ref="U28:X28"/>
    <mergeCell ref="U30:X30"/>
    <mergeCell ref="U31:X31"/>
    <mergeCell ref="U32:X32"/>
    <mergeCell ref="M30:N30"/>
    <mergeCell ref="M31:N31"/>
    <mergeCell ref="M32:N32"/>
    <mergeCell ref="Q28:T28"/>
    <mergeCell ref="O30:P30"/>
    <mergeCell ref="O31:P31"/>
    <mergeCell ref="O32:P32"/>
    <mergeCell ref="Q30:T30"/>
    <mergeCell ref="U29:X29"/>
    <mergeCell ref="U17:Z17"/>
    <mergeCell ref="F43:G45"/>
    <mergeCell ref="M43:P45"/>
    <mergeCell ref="Q43:T45"/>
    <mergeCell ref="S36:T36"/>
    <mergeCell ref="F40:G42"/>
    <mergeCell ref="M40:P42"/>
    <mergeCell ref="Q40:T42"/>
    <mergeCell ref="Q34:R34"/>
    <mergeCell ref="S34:T34"/>
    <mergeCell ref="Q36:R36"/>
    <mergeCell ref="F27:G27"/>
    <mergeCell ref="N23:O23"/>
    <mergeCell ref="F26:H26"/>
    <mergeCell ref="M26:N27"/>
    <mergeCell ref="O26:P27"/>
    <mergeCell ref="Q26:R27"/>
    <mergeCell ref="S26:T27"/>
    <mergeCell ref="H23:I23"/>
    <mergeCell ref="J23:K23"/>
    <mergeCell ref="P23:Q23"/>
    <mergeCell ref="L23:M23"/>
    <mergeCell ref="F31:G31"/>
    <mergeCell ref="F32:G32"/>
    <mergeCell ref="B25:E27"/>
    <mergeCell ref="F25:H25"/>
    <mergeCell ref="M25:P25"/>
    <mergeCell ref="Q25:T25"/>
    <mergeCell ref="B23:E23"/>
    <mergeCell ref="B28:E45"/>
    <mergeCell ref="F33:G34"/>
    <mergeCell ref="M33:N33"/>
    <mergeCell ref="O33:P33"/>
    <mergeCell ref="F35:G36"/>
    <mergeCell ref="M35:N35"/>
    <mergeCell ref="O35:P35"/>
    <mergeCell ref="F37:G39"/>
    <mergeCell ref="M37:P39"/>
    <mergeCell ref="M36:P36"/>
    <mergeCell ref="M34:P34"/>
    <mergeCell ref="F28:G28"/>
    <mergeCell ref="F30:G30"/>
    <mergeCell ref="F23:G23"/>
    <mergeCell ref="I30:L30"/>
    <mergeCell ref="I31:L31"/>
    <mergeCell ref="I32:L32"/>
    <mergeCell ref="I33:L34"/>
    <mergeCell ref="I35:L36"/>
    <mergeCell ref="B16:E16"/>
    <mergeCell ref="F16:I16"/>
    <mergeCell ref="B17:E17"/>
    <mergeCell ref="G17:H17"/>
    <mergeCell ref="I17:L17"/>
    <mergeCell ref="M17:N17"/>
    <mergeCell ref="O17:R17"/>
    <mergeCell ref="S17:T17"/>
    <mergeCell ref="B21:E22"/>
    <mergeCell ref="F21:G22"/>
    <mergeCell ref="H21:I22"/>
    <mergeCell ref="J21:K22"/>
    <mergeCell ref="L21:M22"/>
    <mergeCell ref="N21:O22"/>
    <mergeCell ref="M18:R18"/>
    <mergeCell ref="B19:E19"/>
    <mergeCell ref="I18:L18"/>
    <mergeCell ref="G18:H18"/>
    <mergeCell ref="F19:L19"/>
    <mergeCell ref="B18:E18"/>
    <mergeCell ref="P21:Q22"/>
    <mergeCell ref="I2:R3"/>
    <mergeCell ref="B5:E5"/>
    <mergeCell ref="F6:I6"/>
    <mergeCell ref="B7:E7"/>
    <mergeCell ref="F7:I7"/>
    <mergeCell ref="B15:E15"/>
    <mergeCell ref="F15:I15"/>
    <mergeCell ref="B13:E13"/>
    <mergeCell ref="F13:I13"/>
    <mergeCell ref="B8:E8"/>
    <mergeCell ref="F8:I8"/>
    <mergeCell ref="B9:E9"/>
    <mergeCell ref="F9:I9"/>
    <mergeCell ref="B10:E10"/>
    <mergeCell ref="F10:I10"/>
    <mergeCell ref="B14:E14"/>
    <mergeCell ref="B11:E11"/>
    <mergeCell ref="F11:I11"/>
    <mergeCell ref="B12:E12"/>
    <mergeCell ref="F12:I12"/>
  </mergeCells>
  <conditionalFormatting sqref="F5">
    <cfRule type="expression" dxfId="192" priority="199" stopIfTrue="1">
      <formula>F$5&gt;F$4</formula>
    </cfRule>
  </conditionalFormatting>
  <conditionalFormatting sqref="F7">
    <cfRule type="expression" dxfId="191" priority="145" stopIfTrue="1">
      <formula>INDEX(more2LFrames,$F$6)=2</formula>
    </cfRule>
  </conditionalFormatting>
  <conditionalFormatting sqref="F11">
    <cfRule type="expression" dxfId="190" priority="200" stopIfTrue="1">
      <formula>ISERROR(MATCH(F11,INDIRECT(INDEX(indirectio4500Frames,F$6)),FALSE))</formula>
    </cfRule>
  </conditionalFormatting>
  <conditionalFormatting sqref="F19">
    <cfRule type="expression" dxfId="189" priority="35" stopIfTrue="1">
      <formula>ISERROR($F$17)</formula>
    </cfRule>
  </conditionalFormatting>
  <conditionalFormatting sqref="F7:I7">
    <cfRule type="expression" dxfId="187" priority="103" stopIfTrue="1">
      <formula>INDEX(morexDFrames,$F$6)=2</formula>
    </cfRule>
    <cfRule type="expression" dxfId="186" priority="84" stopIfTrue="1">
      <formula>INDEX(noLFrame,$F$6)=0</formula>
    </cfRule>
    <cfRule type="expression" dxfId="185" priority="117" stopIfTrue="1">
      <formula>ISERROR(MATCH(F7,LandDandAllSframes4500select,FALSE))</formula>
    </cfRule>
  </conditionalFormatting>
  <conditionalFormatting sqref="F9:I9">
    <cfRule type="expression" dxfId="183" priority="58" stopIfTrue="1">
      <formula>INDEX(noDrive4500,$F$6)=0</formula>
    </cfRule>
    <cfRule type="expression" dxfId="182" priority="160" stopIfTrue="1">
      <formula>ISERROR(MATCH(F$9,INDIRECT(INDEX(indirectNmDrArray4500,(F$6))),FALSE))</formula>
    </cfRule>
  </conditionalFormatting>
  <conditionalFormatting sqref="F16:I16">
    <cfRule type="expression" dxfId="180" priority="136" stopIfTrue="1">
      <formula>ISERROR(I$5)</formula>
    </cfRule>
    <cfRule type="expression" dxfId="179" priority="261" stopIfTrue="1">
      <formula>$F15="3592"</formula>
    </cfRule>
  </conditionalFormatting>
  <conditionalFormatting sqref="F23:N23">
    <cfRule type="expression" dxfId="178" priority="2" stopIfTrue="1">
      <formula>ISERROR($F$17)</formula>
    </cfRule>
  </conditionalFormatting>
  <conditionalFormatting sqref="F10:Z10">
    <cfRule type="expression" dxfId="177" priority="164" stopIfTrue="1">
      <formula>ISERROR(MATCH(F10, INDIRECT(INDEX(indirectod4500Frames,F$6)), FALSE))</formula>
    </cfRule>
  </conditionalFormatting>
  <conditionalFormatting sqref="G18 G17:H17">
    <cfRule type="expression" dxfId="175" priority="278" stopIfTrue="1">
      <formula>ISERROR($F$17)</formula>
    </cfRule>
  </conditionalFormatting>
  <conditionalFormatting sqref="G17:H17">
    <cfRule type="expression" dxfId="174" priority="26" stopIfTrue="1">
      <formula>AND(G5="HA",M18&lt;&gt;"HA with maximum capacity (default)")</formula>
    </cfRule>
  </conditionalFormatting>
  <conditionalFormatting sqref="G18:H18 F19">
    <cfRule type="expression" dxfId="173" priority="34" stopIfTrue="1">
      <formula>$G$5="no HA"</formula>
    </cfRule>
  </conditionalFormatting>
  <conditionalFormatting sqref="I17:L17">
    <cfRule type="expression" dxfId="171" priority="27" stopIfTrue="1">
      <formula>AND(G5="HA",M18&lt;&gt;"HA with maximum capacity (default)")</formula>
    </cfRule>
  </conditionalFormatting>
  <conditionalFormatting sqref="I24:R24 AA42:AB42 AA45:AB45">
    <cfRule type="expression" dxfId="169" priority="273" stopIfTrue="1">
      <formula>ISERROR($F$17)</formula>
    </cfRule>
  </conditionalFormatting>
  <conditionalFormatting sqref="J7">
    <cfRule type="expression" dxfId="168" priority="83" stopIfTrue="1">
      <formula>INDEX(noLFrame,$J$6)=0</formula>
    </cfRule>
    <cfRule type="expression" dxfId="167" priority="135" stopIfTrue="1">
      <formula>INDEX(more2LFrames,$J$6)=2</formula>
    </cfRule>
    <cfRule type="expression" dxfId="166" priority="102" stopIfTrue="1">
      <formula>INDEX(morexDFrames,$J$6)=2</formula>
    </cfRule>
    <cfRule type="expression" dxfId="165" priority="210" stopIfTrue="1">
      <formula>ISERROR(MATCH(J7,LandDandAllSframes4500select,FALSE))</formula>
    </cfRule>
  </conditionalFormatting>
  <conditionalFormatting sqref="J9">
    <cfRule type="expression" dxfId="164" priority="57" stopIfTrue="1">
      <formula>INDEX(noDrive4500,$J$6)=0</formula>
    </cfRule>
    <cfRule type="expression" dxfId="163" priority="208" stopIfTrue="1">
      <formula>AND(OR(J$7="S24",J$7="S54"),J$9=0)</formula>
    </cfRule>
    <cfRule type="expression" dxfId="162" priority="207" stopIfTrue="1">
      <formula>ISERROR(MATCH(J$9,INDIRECT(INDEX(indirectNmDrArray4500,(J$6))),FALSE))</formula>
    </cfRule>
  </conditionalFormatting>
  <conditionalFormatting sqref="J6:Z6">
    <cfRule type="expression" dxfId="161" priority="257" stopIfTrue="1">
      <formula>J$6&gt;$F$5</formula>
    </cfRule>
  </conditionalFormatting>
  <conditionalFormatting sqref="J7:Z7">
    <cfRule type="expression" dxfId="160" priority="209" stopIfTrue="1">
      <formula>J$6&gt;$F$5</formula>
    </cfRule>
  </conditionalFormatting>
  <conditionalFormatting sqref="J9:Z9">
    <cfRule type="expression" dxfId="159" priority="206" stopIfTrue="1">
      <formula>J$6&gt;$F$5</formula>
    </cfRule>
  </conditionalFormatting>
  <conditionalFormatting sqref="J10:Z11">
    <cfRule type="expression" dxfId="158" priority="161" stopIfTrue="1">
      <formula>J$6&gt;$F$5</formula>
    </cfRule>
  </conditionalFormatting>
  <conditionalFormatting sqref="J11:Z11">
    <cfRule type="expression" dxfId="157" priority="163" stopIfTrue="1">
      <formula>ISERROR(MATCH(J11,INDIRECT(INDEX(indirectio4500Frames,J$6)),FALSE))</formula>
    </cfRule>
  </conditionalFormatting>
  <conditionalFormatting sqref="J12:Z12">
    <cfRule type="expression" dxfId="156" priority="259" stopIfTrue="1">
      <formula>J$6&gt;$F$5</formula>
    </cfRule>
  </conditionalFormatting>
  <conditionalFormatting sqref="J16:Z16">
    <cfRule type="expression" dxfId="155" priority="272" stopIfTrue="1">
      <formula>J$15="3592"</formula>
    </cfRule>
    <cfRule type="expression" dxfId="154" priority="271" stopIfTrue="1">
      <formula>ISERROR(J$5)</formula>
    </cfRule>
  </conditionalFormatting>
  <conditionalFormatting sqref="K7">
    <cfRule type="expression" dxfId="153" priority="134" stopIfTrue="1">
      <formula>INDEX(more2LFrames,$K$6)=2</formula>
    </cfRule>
    <cfRule type="expression" dxfId="152" priority="82" stopIfTrue="1">
      <formula>INDEX(noLFrame,$K$6)=0</formula>
    </cfRule>
    <cfRule type="expression" dxfId="151" priority="101" stopIfTrue="1">
      <formula>INDEX(morexDFrames,$K$6)=2</formula>
    </cfRule>
  </conditionalFormatting>
  <conditionalFormatting sqref="K9">
    <cfRule type="expression" dxfId="150" priority="56" stopIfTrue="1">
      <formula>INDEX(noDrive4500,$K$6)=0</formula>
    </cfRule>
  </conditionalFormatting>
  <conditionalFormatting sqref="K28">
    <cfRule type="expression" dxfId="149" priority="1" stopIfTrue="1">
      <formula>ISERROR($F$17)</formula>
    </cfRule>
  </conditionalFormatting>
  <conditionalFormatting sqref="K8:V8 X8:Z8 J13:Z16">
    <cfRule type="expression" dxfId="148" priority="258" stopIfTrue="1">
      <formula>J$6&gt;$F$5</formula>
    </cfRule>
  </conditionalFormatting>
  <conditionalFormatting sqref="K9:W9">
    <cfRule type="expression" dxfId="147" priority="147" stopIfTrue="1">
      <formula>ISERROR(MATCH(K$9,INDIRECT(INDEX(indirectNmDrArray4500,(K$6))),FALSE))</formula>
    </cfRule>
  </conditionalFormatting>
  <conditionalFormatting sqref="K7:X7">
    <cfRule type="expression" dxfId="146" priority="104" stopIfTrue="1">
      <formula>ISERROR(MATCH(K7,LandDandAllSframes4500select,FALSE))</formula>
    </cfRule>
  </conditionalFormatting>
  <conditionalFormatting sqref="K9:X9 W8:W9">
    <cfRule type="expression" dxfId="145" priority="269" stopIfTrue="1">
      <formula>AND(OR(K$7="S24",K$7="S54"),K$9=0)</formula>
    </cfRule>
  </conditionalFormatting>
  <conditionalFormatting sqref="K10:Z11">
    <cfRule type="expression" dxfId="144" priority="162" stopIfTrue="1">
      <formula>J$6&gt;$F$5</formula>
    </cfRule>
  </conditionalFormatting>
  <conditionalFormatting sqref="L7">
    <cfRule type="expression" dxfId="143" priority="81" stopIfTrue="1">
      <formula>INDEX(noLFrame,$L$6)=0</formula>
    </cfRule>
    <cfRule type="expression" dxfId="142" priority="133" stopIfTrue="1">
      <formula>INDEX(more2LFrames,$L$6)=2</formula>
    </cfRule>
    <cfRule type="expression" dxfId="141" priority="100" stopIfTrue="1">
      <formula>INDEX(morexDFrames,$L$6)=2</formula>
    </cfRule>
  </conditionalFormatting>
  <conditionalFormatting sqref="L9">
    <cfRule type="expression" dxfId="140" priority="55" stopIfTrue="1">
      <formula>INDEX(noDrive4500,$L$6)=0</formula>
    </cfRule>
  </conditionalFormatting>
  <conditionalFormatting sqref="M7">
    <cfRule type="expression" dxfId="139" priority="80" stopIfTrue="1">
      <formula>INDEX(noLFrame,$M$6)=0</formula>
    </cfRule>
    <cfRule type="expression" dxfId="138" priority="132" stopIfTrue="1">
      <formula>INDEX(more2LFrames,$M$6)=2</formula>
    </cfRule>
    <cfRule type="expression" dxfId="137" priority="99" stopIfTrue="1">
      <formula>INDEX(morexDFrames,$M$6)=2</formula>
    </cfRule>
  </conditionalFormatting>
  <conditionalFormatting sqref="M9">
    <cfRule type="expression" dxfId="136" priority="54" stopIfTrue="1">
      <formula>INDEX(noDrive4500,$M$6)=0</formula>
    </cfRule>
  </conditionalFormatting>
  <conditionalFormatting sqref="M18:R18">
    <cfRule type="expression" dxfId="135" priority="33" stopIfTrue="1">
      <formula>G5="no HA"</formula>
    </cfRule>
  </conditionalFormatting>
  <conditionalFormatting sqref="N7">
    <cfRule type="expression" dxfId="134" priority="79" stopIfTrue="1">
      <formula>INDEX(noLFrame,$N$6)=0</formula>
    </cfRule>
    <cfRule type="expression" dxfId="133" priority="131" stopIfTrue="1">
      <formula>INDEX(more2LFrames,$N$6)=2</formula>
    </cfRule>
    <cfRule type="expression" dxfId="132" priority="98" stopIfTrue="1">
      <formula>INDEX(morexDFrames,$N$6)=2</formula>
    </cfRule>
  </conditionalFormatting>
  <conditionalFormatting sqref="N9">
    <cfRule type="expression" dxfId="131" priority="53" stopIfTrue="1">
      <formula>INDEX(noDrive4500,$N$6)=0</formula>
    </cfRule>
  </conditionalFormatting>
  <conditionalFormatting sqref="O7">
    <cfRule type="expression" dxfId="130" priority="130" stopIfTrue="1">
      <formula>INDEX(more2LFrames,$O$6)=2</formula>
    </cfRule>
    <cfRule type="expression" dxfId="129" priority="97" stopIfTrue="1">
      <formula>INDEX(morexDFrames,$O$6)=2</formula>
    </cfRule>
    <cfRule type="expression" dxfId="128" priority="78" stopIfTrue="1">
      <formula>INDEX(noLFrame,$O$6)=0</formula>
    </cfRule>
  </conditionalFormatting>
  <conditionalFormatting sqref="O9">
    <cfRule type="expression" dxfId="127" priority="52" stopIfTrue="1">
      <formula>INDEX(noDrive4500,$O$6)=0</formula>
    </cfRule>
  </conditionalFormatting>
  <conditionalFormatting sqref="O29:O32">
    <cfRule type="expression" dxfId="126" priority="19" stopIfTrue="1">
      <formula>ISERROR($F$17)</formula>
    </cfRule>
  </conditionalFormatting>
  <conditionalFormatting sqref="O33:P33">
    <cfRule type="expression" dxfId="125" priority="65" stopIfTrue="1">
      <formula>ISERROR($F$17)</formula>
    </cfRule>
  </conditionalFormatting>
  <conditionalFormatting sqref="O35:P35">
    <cfRule type="expression" dxfId="124" priority="63" stopIfTrue="1">
      <formula>ISERROR($F$17)</formula>
    </cfRule>
  </conditionalFormatting>
  <conditionalFormatting sqref="P7">
    <cfRule type="expression" dxfId="123" priority="129" stopIfTrue="1">
      <formula>INDEX(more2LFrames,$P$6)=2</formula>
    </cfRule>
    <cfRule type="expression" dxfId="122" priority="96" stopIfTrue="1">
      <formula>INDEX(morexDFrames,$P$6)=2</formula>
    </cfRule>
    <cfRule type="expression" dxfId="121" priority="77" stopIfTrue="1">
      <formula>INDEX(noLFrame,$P$6)=0</formula>
    </cfRule>
  </conditionalFormatting>
  <conditionalFormatting sqref="P9">
    <cfRule type="expression" dxfId="120" priority="51" stopIfTrue="1">
      <formula>INDEX(noDrive4500,$P$6)=0</formula>
    </cfRule>
  </conditionalFormatting>
  <conditionalFormatting sqref="P23:R23">
    <cfRule type="expression" dxfId="119" priority="256" stopIfTrue="1">
      <formula>ISERROR($F$17)</formula>
    </cfRule>
  </conditionalFormatting>
  <conditionalFormatting sqref="Q7">
    <cfRule type="expression" dxfId="118" priority="128" stopIfTrue="1">
      <formula>INDEX(more2LFrames,$Q$6)=2</formula>
    </cfRule>
    <cfRule type="expression" dxfId="117" priority="76" stopIfTrue="1">
      <formula>INDEX(noLFrame,$Q$6)=0</formula>
    </cfRule>
    <cfRule type="expression" dxfId="116" priority="95" stopIfTrue="1">
      <formula>INDEX(morexDFrames,$Q$6)=2</formula>
    </cfRule>
  </conditionalFormatting>
  <conditionalFormatting sqref="Q9">
    <cfRule type="expression" dxfId="115" priority="50" stopIfTrue="1">
      <formula>INDEX(noDrive4500,$Q$6)=0</formula>
    </cfRule>
  </conditionalFormatting>
  <conditionalFormatting sqref="R7">
    <cfRule type="expression" dxfId="114" priority="94" stopIfTrue="1">
      <formula>INDEX(morexDFrames,$R$6)=2</formula>
    </cfRule>
    <cfRule type="expression" dxfId="113" priority="75" stopIfTrue="1">
      <formula>INDEX(noLFrame,$R$6)=0</formula>
    </cfRule>
    <cfRule type="expression" dxfId="112" priority="127" stopIfTrue="1">
      <formula>INDEX(more2LFrames,$R$6)=2</formula>
    </cfRule>
  </conditionalFormatting>
  <conditionalFormatting sqref="R9">
    <cfRule type="expression" dxfId="111" priority="49" stopIfTrue="1">
      <formula>INDEX(noDrive4500,$R$6)=0</formula>
    </cfRule>
  </conditionalFormatting>
  <conditionalFormatting sqref="S7">
    <cfRule type="expression" dxfId="110" priority="74" stopIfTrue="1">
      <formula>INDEX(noLFrame,$S$6)=0</formula>
    </cfRule>
    <cfRule type="expression" dxfId="109" priority="126" stopIfTrue="1">
      <formula>INDEX(more2LFrames,$S$6)=2</formula>
    </cfRule>
    <cfRule type="expression" dxfId="108" priority="93" stopIfTrue="1">
      <formula>INDEX(morexDFrames,$S$6)=2</formula>
    </cfRule>
  </conditionalFormatting>
  <conditionalFormatting sqref="S9">
    <cfRule type="expression" dxfId="107" priority="48" stopIfTrue="1">
      <formula>INDEX(noDrive4500,$S$6)=0</formula>
    </cfRule>
  </conditionalFormatting>
  <conditionalFormatting sqref="S31:T36">
    <cfRule type="expression" dxfId="106" priority="3" stopIfTrue="1">
      <formula>ISERROR($F$17)</formula>
    </cfRule>
  </conditionalFormatting>
  <conditionalFormatting sqref="T7">
    <cfRule type="expression" dxfId="105" priority="125" stopIfTrue="1">
      <formula>INDEX(more2LFrames,$T$6)=2</formula>
    </cfRule>
    <cfRule type="expression" dxfId="104" priority="92" stopIfTrue="1">
      <formula>INDEX(morexDFrames,$T$6)=2</formula>
    </cfRule>
    <cfRule type="expression" dxfId="103" priority="73" stopIfTrue="1">
      <formula>INDEX(noLFrame,$T$6)=0</formula>
    </cfRule>
  </conditionalFormatting>
  <conditionalFormatting sqref="T9">
    <cfRule type="expression" dxfId="102" priority="47" stopIfTrue="1">
      <formula>INDEX(noDrive4500,$T$6)=0</formula>
    </cfRule>
  </conditionalFormatting>
  <conditionalFormatting sqref="U7">
    <cfRule type="expression" dxfId="101" priority="124" stopIfTrue="1">
      <formula>INDEX(more2LFrames,$U$6)=2</formula>
    </cfRule>
    <cfRule type="expression" dxfId="100" priority="91" stopIfTrue="1">
      <formula>INDEX(morexDFrames,$U$6)=2</formula>
    </cfRule>
    <cfRule type="expression" dxfId="99" priority="72" stopIfTrue="1">
      <formula>INDEX(noLFrame,$U$6)=0</formula>
    </cfRule>
  </conditionalFormatting>
  <conditionalFormatting sqref="U9">
    <cfRule type="expression" dxfId="98" priority="46" stopIfTrue="1">
      <formula>INDEX(noDrive4500,$U$6)=0</formula>
    </cfRule>
  </conditionalFormatting>
  <conditionalFormatting sqref="V7">
    <cfRule type="expression" dxfId="97" priority="90" stopIfTrue="1">
      <formula>INDEX(morexDFrames,$V$6)=2</formula>
    </cfRule>
    <cfRule type="expression" dxfId="96" priority="71" stopIfTrue="1">
      <formula>INDEX(noLFrame,$V$6)=0</formula>
    </cfRule>
    <cfRule type="expression" dxfId="95" priority="123" stopIfTrue="1">
      <formula>INDEX(more2LFrames,$V$6)=2</formula>
    </cfRule>
  </conditionalFormatting>
  <conditionalFormatting sqref="V9">
    <cfRule type="expression" dxfId="94" priority="45" stopIfTrue="1">
      <formula>INDEX(noDrive4500,$V$6)=0</formula>
    </cfRule>
  </conditionalFormatting>
  <conditionalFormatting sqref="W7">
    <cfRule type="expression" dxfId="93" priority="89" stopIfTrue="1">
      <formula>INDEX(morexDFrames,$W$6)=2</formula>
    </cfRule>
    <cfRule type="expression" dxfId="92" priority="122" stopIfTrue="1">
      <formula>INDEX(more2LFrames,$W$6)=2</formula>
    </cfRule>
    <cfRule type="expression" dxfId="91" priority="70" stopIfTrue="1">
      <formula>INDEX(noLFrame,$W$6)=0</formula>
    </cfRule>
  </conditionalFormatting>
  <conditionalFormatting sqref="W8:W9">
    <cfRule type="expression" dxfId="90" priority="267" stopIfTrue="1">
      <formula>W$6&gt;$F$5</formula>
    </cfRule>
  </conditionalFormatting>
  <conditionalFormatting sqref="W9">
    <cfRule type="expression" dxfId="89" priority="44" stopIfTrue="1">
      <formula>INDEX(noDrive4500,$W$6)=0</formula>
    </cfRule>
  </conditionalFormatting>
  <conditionalFormatting sqref="W34:X34">
    <cfRule type="expression" dxfId="88" priority="15" stopIfTrue="1">
      <formula>ISERROR($F$17)</formula>
    </cfRule>
  </conditionalFormatting>
  <conditionalFormatting sqref="W36:X39">
    <cfRule type="expression" dxfId="87" priority="16" stopIfTrue="1">
      <formula>ISERROR($F$17)</formula>
    </cfRule>
  </conditionalFormatting>
  <conditionalFormatting sqref="X7">
    <cfRule type="expression" dxfId="86" priority="121" stopIfTrue="1">
      <formula>INDEX(more2LFrames,$X$6)=2</formula>
    </cfRule>
    <cfRule type="expression" dxfId="85" priority="88" stopIfTrue="1">
      <formula>INDEX(morexDFrames,$X$6)=2</formula>
    </cfRule>
    <cfRule type="expression" dxfId="84" priority="69" stopIfTrue="1">
      <formula>INDEX(noLFrame,$X$6)=0</formula>
    </cfRule>
  </conditionalFormatting>
  <conditionalFormatting sqref="X9">
    <cfRule type="expression" dxfId="83" priority="43" stopIfTrue="1">
      <formula>INDEX(noDrive4500,$X$6)=0</formula>
    </cfRule>
    <cfRule type="expression" dxfId="82" priority="268" stopIfTrue="1">
      <formula>ISERROR(MATCH(AK$9,INDIRECT(INDEX(indirectNmDrArray4500,(AK$6))),FALSE))</formula>
    </cfRule>
  </conditionalFormatting>
  <conditionalFormatting sqref="Y7">
    <cfRule type="expression" dxfId="81" priority="120" stopIfTrue="1">
      <formula>INDEX(more2LFrames,$Y$6)=2</formula>
    </cfRule>
    <cfRule type="expression" dxfId="80" priority="87" stopIfTrue="1">
      <formula>INDEX(morexDFrames,$Y$6)=2</formula>
    </cfRule>
    <cfRule type="expression" dxfId="79" priority="68" stopIfTrue="1">
      <formula>INDEX(noLFrame,$Y$6)=0</formula>
    </cfRule>
  </conditionalFormatting>
  <conditionalFormatting sqref="Y9">
    <cfRule type="expression" dxfId="78" priority="42" stopIfTrue="1">
      <formula>INDEX(noDrive4500,$Y$6)=0</formula>
    </cfRule>
  </conditionalFormatting>
  <conditionalFormatting sqref="Y7:Z7">
    <cfRule type="expression" dxfId="77" priority="227" stopIfTrue="1">
      <formula>ISERROR(MATCH(Y7,LandDandAllSframes4500select,FALSE))</formula>
    </cfRule>
  </conditionalFormatting>
  <conditionalFormatting sqref="Y9:Z9">
    <cfRule type="expression" dxfId="76" priority="215" stopIfTrue="1">
      <formula>ISERROR(MATCH(Y$9,INDIRECT(INDEX(indirectNmDrArray4500,(Y$6))),FALSE))</formula>
    </cfRule>
    <cfRule type="expression" dxfId="75" priority="216" stopIfTrue="1">
      <formula>AND(OR(Y$7="S24",Y$7="S54"),Y$9=0)</formula>
    </cfRule>
  </conditionalFormatting>
  <conditionalFormatting sqref="Z7">
    <cfRule type="expression" dxfId="74" priority="119" stopIfTrue="1">
      <formula>INDEX(more2LFrames,$Z$6)=2</formula>
    </cfRule>
    <cfRule type="expression" dxfId="73" priority="86" stopIfTrue="1">
      <formula>INDEX(morexDFrames,$Z$6)=2</formula>
    </cfRule>
    <cfRule type="expression" dxfId="72" priority="67" stopIfTrue="1">
      <formula>INDEX(noLFrame,$Z$6)=0</formula>
    </cfRule>
  </conditionalFormatting>
  <conditionalFormatting sqref="Z9">
    <cfRule type="expression" dxfId="71" priority="41" stopIfTrue="1">
      <formula>INDEX(noDrive4500,$Z$6)=0</formula>
    </cfRule>
  </conditionalFormatting>
  <dataValidations count="11">
    <dataValidation type="list" allowBlank="1" showInputMessage="1" showErrorMessage="1" sqref="F11:I11" xr:uid="{00000000-0002-0000-0100-000000000000}">
      <formula1>INDIRECT(INDEX(indirectio4500Frames,F$6))</formula1>
    </dataValidation>
    <dataValidation type="list" allowBlank="1" showInputMessage="1" showErrorMessage="1" sqref="B23 F24 B28:B29" xr:uid="{00000000-0002-0000-0100-000001000000}">
      <formula1>TotalCapacityComp</formula1>
    </dataValidation>
    <dataValidation type="list" allowBlank="1" showInputMessage="1" showErrorMessage="1" sqref="F7:Z7" xr:uid="{00000000-0002-0000-0100-000002000000}">
      <formula1>INDIRECT(INDEX(indirectDSframeArray4500,(F$6)))</formula1>
    </dataValidation>
    <dataValidation type="list" allowBlank="1" showInputMessage="1" showErrorMessage="1" sqref="F8:I8" xr:uid="{00000000-0002-0000-0100-000003000000}">
      <formula1>LibraryLMcode4500</formula1>
    </dataValidation>
    <dataValidation type="list" allowBlank="1" showInputMessage="1" showErrorMessage="1" sqref="F9:Z9" xr:uid="{00000000-0002-0000-0100-000004000000}">
      <formula1>INDIRECT(INDEX(indirectNmDrArray4500,(F$6)))</formula1>
    </dataValidation>
    <dataValidation type="list" allowBlank="1" showInputMessage="1" showErrorMessage="1" sqref="F10:Z10" xr:uid="{00000000-0002-0000-0100-000005000000}">
      <formula1>INDIRECT(INDEX(indirectod4500Frames,F$6))</formula1>
    </dataValidation>
    <dataValidation type="list" allowBlank="1" showInputMessage="1" showErrorMessage="1" sqref="F5" xr:uid="{00000000-0002-0000-0100-000006000000}">
      <formula1>INDIRECT(NumFram4500)</formula1>
    </dataValidation>
    <dataValidation type="list" allowBlank="1" showInputMessage="1" showErrorMessage="1" sqref="K11:Y11" xr:uid="{00000000-0002-0000-0100-000007000000}">
      <formula1>INDIRECT(INDEX(indirectioDframeArray4500,(L$6-1)))</formula1>
    </dataValidation>
    <dataValidation type="list" allowBlank="1" showInputMessage="1" showErrorMessage="1" sqref="Z11 J11" xr:uid="{00000000-0002-0000-0100-000008000000}">
      <formula1>INDIRECT(INDEX(indirectioDframeArray4500,(J$6)))</formula1>
    </dataValidation>
    <dataValidation type="list" allowBlank="1" showInputMessage="1" showErrorMessage="1" sqref="G5" xr:uid="{00000000-0002-0000-0100-000009000000}">
      <formula1>TS4500HA</formula1>
    </dataValidation>
    <dataValidation type="list" allowBlank="1" showInputMessage="1" showErrorMessage="1" sqref="M18:R18" xr:uid="{00000000-0002-0000-0100-00000A000000}">
      <formula1>TS4500HAChoice</formula1>
    </dataValidation>
  </dataValidations>
  <pageMargins left="0.7" right="0.7" top="0.75" bottom="0.75" header="0.3" footer="0.3"/>
  <pageSetup paperSize="9" orientation="portrait" r:id="rId1"/>
  <ignoredErrors>
    <ignoredError sqref="F1 F16" emptyCellReference="1"/>
    <ignoredError sqref="I5:J5" evalError="1"/>
    <ignoredError sqref="J8"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39" stopIfTrue="1" id="{B962A98E-E362-41F9-9C06-92CBCC3F2E23}">
            <xm:f>Names4500!$C$559=1</xm:f>
            <x14:dxf>
              <font>
                <color rgb="FF0053FA"/>
              </font>
              <fill>
                <patternFill>
                  <bgColor rgb="FFFF0000"/>
                </patternFill>
              </fill>
            </x14:dxf>
          </x14:cfRule>
          <xm:sqref>F7:I7</xm:sqref>
        </x14:conditionalFormatting>
        <x14:conditionalFormatting xmlns:xm="http://schemas.microsoft.com/office/excel/2006/main">
          <x14:cfRule type="expression" priority="23" stopIfTrue="1" id="{C5210CD9-8426-47A0-95E7-2CD90849EC01}">
            <xm:f>AND(F8=Names4500!C122,$G$5="HA")</xm:f>
            <x14:dxf>
              <font>
                <color rgb="FF0053FA"/>
              </font>
              <fill>
                <patternFill>
                  <bgColor rgb="FFFF0000"/>
                </patternFill>
              </fill>
            </x14:dxf>
          </x14:cfRule>
          <xm:sqref>F8:I8</xm:sqref>
        </x14:conditionalFormatting>
        <x14:conditionalFormatting xmlns:xm="http://schemas.microsoft.com/office/excel/2006/main">
          <x14:cfRule type="expression" priority="38" stopIfTrue="1" id="{0D8DF4F8-5D75-4907-BA33-ADA39FE247C6}">
            <xm:f>Names4500!$C$582=1</xm:f>
            <x14:dxf>
              <font>
                <color rgb="FF0053FA"/>
              </font>
              <fill>
                <patternFill>
                  <bgColor rgb="FFFF0000"/>
                </patternFill>
              </fill>
            </x14:dxf>
          </x14:cfRule>
          <xm:sqref>F11:I11</xm:sqref>
        </x14:conditionalFormatting>
        <x14:conditionalFormatting xmlns:xm="http://schemas.microsoft.com/office/excel/2006/main">
          <x14:cfRule type="expression" priority="146" stopIfTrue="1" id="{591AC2B4-5A46-4F4C-89C4-E04DF595A561}">
            <xm:f>Table4500!$I$20&gt;Table4500!$D$20+1</xm:f>
            <x14:dxf>
              <font>
                <color rgb="FF0053FA"/>
              </font>
              <fill>
                <patternFill>
                  <bgColor rgb="FFFF0000"/>
                </patternFill>
              </fill>
            </x14:dxf>
          </x14:cfRule>
          <xm:sqref>F11:Z11</xm:sqref>
        </x14:conditionalFormatting>
        <x14:conditionalFormatting xmlns:xm="http://schemas.microsoft.com/office/excel/2006/main">
          <x14:cfRule type="expression" priority="32" stopIfTrue="1" id="{3224D6A3-56D3-43D2-8D13-C9CFBE890DE2}">
            <xm:f>AND(Table4500!Y23&gt;0,G5="HA")</xm:f>
            <x14:dxf>
              <font>
                <color rgb="FFFFFF00"/>
              </font>
            </x14:dxf>
          </x14:cfRule>
          <xm:sqref>G18:L18</xm:sqref>
        </x14:conditionalFormatting>
        <x14:conditionalFormatting xmlns:xm="http://schemas.microsoft.com/office/excel/2006/main">
          <x14:cfRule type="expression" priority="31" stopIfTrue="1" id="{3FEBCFBF-BE03-46F8-B845-BECA4702820B}">
            <xm:f>Table4500!Y23&gt;0</xm:f>
            <x14:dxf>
              <font>
                <color rgb="FFFFFF00"/>
              </font>
            </x14:dxf>
          </x14:cfRule>
          <xm:sqref>I18:L18</xm:sqref>
        </x14:conditionalFormatting>
      </x14:conditionalFormatting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B1:AJ41"/>
  <sheetViews>
    <sheetView workbookViewId="0"/>
  </sheetViews>
  <sheetFormatPr baseColWidth="10" defaultColWidth="8.84375" defaultRowHeight="12.45"/>
  <cols>
    <col min="1" max="1" width="2.69140625" customWidth="1"/>
    <col min="2" max="5" width="5.3046875" customWidth="1"/>
    <col min="6" max="12" width="5.69140625" customWidth="1"/>
    <col min="13" max="13" width="7.3046875" customWidth="1"/>
    <col min="14" max="14" width="5.69140625" customWidth="1"/>
    <col min="15" max="15" width="6.3046875" customWidth="1"/>
    <col min="16" max="16" width="6.07421875" customWidth="1"/>
    <col min="17" max="24" width="5.69140625" customWidth="1"/>
    <col min="25" max="25" width="5.4609375" customWidth="1"/>
    <col min="26" max="26" width="6.4609375" customWidth="1"/>
    <col min="27" max="27" width="5.69140625" customWidth="1"/>
    <col min="28" max="28" width="6.07421875" customWidth="1"/>
    <col min="29" max="30" width="6.53515625" customWidth="1"/>
    <col min="31" max="31" width="6.3046875" customWidth="1"/>
    <col min="32" max="32" width="5.84375" customWidth="1"/>
    <col min="33" max="33" width="6.07421875" customWidth="1"/>
    <col min="34" max="34" width="5.4609375" customWidth="1"/>
    <col min="35" max="35" width="5.69140625" customWidth="1"/>
    <col min="36" max="36" width="6" customWidth="1"/>
  </cols>
  <sheetData>
    <row r="1" spans="2:25" ht="15" customHeight="1" thickBot="1"/>
    <row r="2" spans="2:25" ht="12.9" thickTop="1">
      <c r="I2" s="569" t="s">
        <v>630</v>
      </c>
      <c r="J2" s="570"/>
      <c r="K2" s="570"/>
      <c r="L2" s="570"/>
      <c r="M2" s="570"/>
      <c r="N2" s="570"/>
      <c r="O2" s="570"/>
      <c r="P2" s="570"/>
      <c r="Q2" s="570"/>
      <c r="R2" s="571"/>
    </row>
    <row r="3" spans="2:25" ht="13.3" thickBot="1">
      <c r="I3" s="572"/>
      <c r="J3" s="573"/>
      <c r="K3" s="573"/>
      <c r="L3" s="573"/>
      <c r="M3" s="573"/>
      <c r="N3" s="573"/>
      <c r="O3" s="573"/>
      <c r="P3" s="573"/>
      <c r="Q3" s="573"/>
      <c r="R3" s="574"/>
      <c r="T3" s="325" t="s">
        <v>461</v>
      </c>
    </row>
    <row r="4" spans="2:25" ht="10.4" customHeight="1" thickTop="1" thickBot="1">
      <c r="I4" s="5"/>
      <c r="J4" s="5"/>
      <c r="K4" s="5"/>
      <c r="L4" s="5"/>
      <c r="M4" s="5"/>
      <c r="N4" s="5"/>
      <c r="O4" s="5"/>
      <c r="P4" s="5"/>
      <c r="Q4" s="5"/>
      <c r="R4" s="5"/>
    </row>
    <row r="5" spans="2:25" ht="13.3" thickTop="1" thickBot="1">
      <c r="B5" s="858" t="s">
        <v>357</v>
      </c>
      <c r="C5" s="859"/>
      <c r="D5" s="859"/>
      <c r="E5" s="860"/>
      <c r="F5" s="203">
        <v>2</v>
      </c>
      <c r="J5" s="144" t="b">
        <f t="shared" ref="J5:X5" ca="1" si="0">IF(J6&gt;$F$5,TRUE,OR(MATCH(J7,INDIRECT(INDEX(indirectDSframeArray,(J6-1))),FALSE),MATCH(J9,INDIRECT(INDEX(indirectNmDrArray,(J6-1))),FALSE),MATCH(J10,INDIRECT(INDEX(indirectioDframeArray,(J6-1))),FALSE)))</f>
        <v>1</v>
      </c>
      <c r="K5" s="144" t="b">
        <f t="shared" ca="1" si="0"/>
        <v>1</v>
      </c>
      <c r="L5" s="144" t="b">
        <f t="shared" ca="1" si="0"/>
        <v>1</v>
      </c>
      <c r="M5" s="144" t="b">
        <f t="shared" ca="1" si="0"/>
        <v>1</v>
      </c>
      <c r="N5" s="144" t="b">
        <f t="shared" ca="1" si="0"/>
        <v>1</v>
      </c>
      <c r="O5" s="144" t="b">
        <f t="shared" ca="1" si="0"/>
        <v>1</v>
      </c>
      <c r="P5" s="144" t="b">
        <f t="shared" ca="1" si="0"/>
        <v>1</v>
      </c>
      <c r="Q5" s="144" t="b">
        <f t="shared" ca="1" si="0"/>
        <v>1</v>
      </c>
      <c r="R5" s="144" t="b">
        <f t="shared" ca="1" si="0"/>
        <v>1</v>
      </c>
      <c r="S5" s="144" t="b">
        <f t="shared" ca="1" si="0"/>
        <v>1</v>
      </c>
      <c r="T5" s="144" t="b">
        <f t="shared" ca="1" si="0"/>
        <v>1</v>
      </c>
      <c r="U5" s="144" t="b">
        <f t="shared" ca="1" si="0"/>
        <v>1</v>
      </c>
      <c r="V5" s="144" t="b">
        <f t="shared" ca="1" si="0"/>
        <v>1</v>
      </c>
      <c r="W5" s="144" t="b">
        <f t="shared" ca="1" si="0"/>
        <v>1</v>
      </c>
      <c r="X5" s="144" t="b">
        <f t="shared" ca="1" si="0"/>
        <v>1</v>
      </c>
    </row>
    <row r="6" spans="2:25" ht="10.4" customHeight="1" thickTop="1" thickBot="1">
      <c r="F6" s="578">
        <v>1</v>
      </c>
      <c r="G6" s="578"/>
      <c r="H6" s="578"/>
      <c r="I6" s="578"/>
      <c r="J6" s="244">
        <v>2</v>
      </c>
      <c r="K6" s="244">
        <v>3</v>
      </c>
      <c r="L6" s="244">
        <v>4</v>
      </c>
      <c r="M6" s="244">
        <v>5</v>
      </c>
      <c r="N6" s="244">
        <v>6</v>
      </c>
      <c r="O6" s="244">
        <v>7</v>
      </c>
      <c r="P6" s="244">
        <v>8</v>
      </c>
      <c r="Q6" s="244">
        <v>9</v>
      </c>
      <c r="R6" s="244">
        <v>10</v>
      </c>
      <c r="S6" s="244">
        <v>11</v>
      </c>
      <c r="T6" s="244">
        <v>12</v>
      </c>
      <c r="U6" s="244">
        <v>13</v>
      </c>
      <c r="V6" s="244">
        <v>14</v>
      </c>
      <c r="W6" s="244">
        <v>15</v>
      </c>
      <c r="X6" s="244">
        <v>16</v>
      </c>
    </row>
    <row r="7" spans="2:25" ht="13.3" thickTop="1" thickBot="1">
      <c r="B7" s="858" t="s">
        <v>356</v>
      </c>
      <c r="C7" s="859"/>
      <c r="D7" s="859"/>
      <c r="E7" s="860"/>
      <c r="F7" s="579" t="s">
        <v>58</v>
      </c>
      <c r="G7" s="580"/>
      <c r="H7" s="580"/>
      <c r="I7" s="581"/>
      <c r="J7" s="8" t="s">
        <v>60</v>
      </c>
      <c r="K7" s="8" t="s">
        <v>60</v>
      </c>
      <c r="L7" s="8" t="s">
        <v>60</v>
      </c>
      <c r="M7" s="8" t="s">
        <v>60</v>
      </c>
      <c r="N7" s="8" t="s">
        <v>60</v>
      </c>
      <c r="O7" s="8" t="s">
        <v>60</v>
      </c>
      <c r="P7" s="8" t="s">
        <v>60</v>
      </c>
      <c r="Q7" s="8" t="s">
        <v>60</v>
      </c>
      <c r="R7" s="8" t="s">
        <v>60</v>
      </c>
      <c r="S7" s="8" t="s">
        <v>60</v>
      </c>
      <c r="T7" s="8" t="s">
        <v>60</v>
      </c>
      <c r="U7" s="8" t="s">
        <v>60</v>
      </c>
      <c r="V7" s="8" t="s">
        <v>60</v>
      </c>
      <c r="W7" s="8" t="s">
        <v>60</v>
      </c>
      <c r="X7" s="8" t="s">
        <v>60</v>
      </c>
      <c r="Y7" s="531"/>
    </row>
    <row r="8" spans="2:25" ht="13.3" thickTop="1" thickBot="1">
      <c r="B8" s="858" t="s">
        <v>358</v>
      </c>
      <c r="C8" s="859"/>
      <c r="D8" s="859"/>
      <c r="E8" s="860"/>
      <c r="F8" s="590" t="s">
        <v>247</v>
      </c>
      <c r="G8" s="591"/>
      <c r="H8" s="591"/>
      <c r="I8" s="592"/>
      <c r="J8" s="197" t="str">
        <f ca="1">IF(AND(F8=Names!C136,Table!D18&gt;0),"!! Enhanced Node Card is required on Lx2 and Dx2 models.", " ")</f>
        <v xml:space="preserve"> </v>
      </c>
      <c r="K8" s="192"/>
      <c r="L8" s="192"/>
      <c r="M8" s="192"/>
      <c r="N8" s="192"/>
      <c r="O8" s="192"/>
      <c r="P8" s="192"/>
      <c r="Q8" s="192"/>
      <c r="R8" s="192"/>
      <c r="S8" s="192"/>
      <c r="T8" s="192"/>
      <c r="U8" s="192"/>
      <c r="V8" s="192"/>
      <c r="W8" s="192"/>
      <c r="X8" s="192"/>
      <c r="Y8" s="531"/>
    </row>
    <row r="9" spans="2:25" ht="13.3" thickTop="1" thickBot="1">
      <c r="B9" s="861" t="str">
        <f>"# of drives ("&amp;Table!$E$27&amp;"/max. 192)"</f>
        <v># of drives (12/max. 192)</v>
      </c>
      <c r="C9" s="859"/>
      <c r="D9" s="859"/>
      <c r="E9" s="860"/>
      <c r="F9" s="579">
        <v>4</v>
      </c>
      <c r="G9" s="580"/>
      <c r="H9" s="580"/>
      <c r="I9" s="581"/>
      <c r="J9" s="8">
        <v>4</v>
      </c>
      <c r="K9" s="8">
        <v>4</v>
      </c>
      <c r="L9" s="8">
        <v>0</v>
      </c>
      <c r="M9" s="8">
        <v>0</v>
      </c>
      <c r="N9" s="8">
        <v>0</v>
      </c>
      <c r="O9" s="8">
        <v>0</v>
      </c>
      <c r="P9" s="8">
        <v>0</v>
      </c>
      <c r="Q9" s="8">
        <v>0</v>
      </c>
      <c r="R9" s="8">
        <v>0</v>
      </c>
      <c r="S9" s="8">
        <v>0</v>
      </c>
      <c r="T9" s="8">
        <v>0</v>
      </c>
      <c r="U9" s="8">
        <v>0</v>
      </c>
      <c r="V9" s="8">
        <v>0</v>
      </c>
      <c r="W9" s="8">
        <v>0</v>
      </c>
      <c r="X9" s="8">
        <v>0</v>
      </c>
      <c r="Y9" s="531"/>
    </row>
    <row r="10" spans="2:25" ht="14.6" customHeight="1" thickTop="1" thickBot="1">
      <c r="B10" s="858" t="s">
        <v>21</v>
      </c>
      <c r="C10" s="859"/>
      <c r="D10" s="859"/>
      <c r="E10" s="860"/>
      <c r="F10" s="590" t="s">
        <v>4</v>
      </c>
      <c r="G10" s="597"/>
      <c r="H10" s="597"/>
      <c r="I10" s="598"/>
      <c r="J10" s="838" t="s">
        <v>127</v>
      </c>
      <c r="K10" s="838" t="s">
        <v>127</v>
      </c>
      <c r="L10" s="838" t="s">
        <v>127</v>
      </c>
      <c r="M10" s="838" t="s">
        <v>127</v>
      </c>
      <c r="N10" s="838" t="s">
        <v>127</v>
      </c>
      <c r="O10" s="838" t="s">
        <v>127</v>
      </c>
      <c r="P10" s="838" t="s">
        <v>127</v>
      </c>
      <c r="Q10" s="838" t="s">
        <v>127</v>
      </c>
      <c r="R10" s="838" t="s">
        <v>127</v>
      </c>
      <c r="S10" s="838" t="s">
        <v>127</v>
      </c>
      <c r="T10" s="838" t="s">
        <v>127</v>
      </c>
      <c r="U10" s="838" t="s">
        <v>127</v>
      </c>
      <c r="V10" s="838" t="s">
        <v>127</v>
      </c>
      <c r="W10" s="838" t="s">
        <v>127</v>
      </c>
      <c r="X10" s="838" t="s">
        <v>127</v>
      </c>
      <c r="Y10" s="531"/>
    </row>
    <row r="11" spans="2:25" ht="13.3" thickTop="1" thickBot="1">
      <c r="B11" s="858" t="s">
        <v>134</v>
      </c>
      <c r="C11" s="859"/>
      <c r="D11" s="859"/>
      <c r="E11" s="860"/>
      <c r="F11" s="579" t="s">
        <v>82</v>
      </c>
      <c r="G11" s="597"/>
      <c r="H11" s="597"/>
      <c r="I11" s="598"/>
      <c r="J11" s="839"/>
      <c r="K11" s="839"/>
      <c r="L11" s="839"/>
      <c r="M11" s="839"/>
      <c r="N11" s="839"/>
      <c r="O11" s="839"/>
      <c r="P11" s="839"/>
      <c r="Q11" s="839"/>
      <c r="R11" s="839"/>
      <c r="S11" s="839"/>
      <c r="T11" s="839"/>
      <c r="U11" s="839"/>
      <c r="V11" s="839"/>
      <c r="W11" s="839"/>
      <c r="X11" s="839"/>
      <c r="Y11" s="531"/>
    </row>
    <row r="12" spans="2:25" ht="10.4" customHeight="1" thickTop="1" thickBot="1">
      <c r="B12" s="862"/>
      <c r="C12" s="862"/>
      <c r="D12" s="862"/>
      <c r="E12" s="863"/>
      <c r="F12" s="867"/>
      <c r="G12" s="868"/>
      <c r="H12" s="868"/>
      <c r="I12" s="869"/>
      <c r="J12" s="69">
        <f>IF(OR(J7="S24",J7="S54"),1,IF(Table!$D$21&lt;3,IF(Table!C23=1,1,0),IF(AND(Table!C23=1,Table!C24=1),1,0)))</f>
        <v>1</v>
      </c>
      <c r="K12" s="69">
        <f>IF(OR(K7="S24",K7="S54"),1,IF(Table!$D$21&lt;3,IF(Table!D23=1,1,0),IF(AND(Table!D23=1,Table!D24=1),1,0)))</f>
        <v>0</v>
      </c>
      <c r="L12" s="69">
        <f>IF(OR(L7="S24",L7="S54"),1,IF(Table!$D$21&lt;3,IF(Table!E23=1,1,0),IF(AND(Table!E23=1,Table!E24=1),1,0)))</f>
        <v>0</v>
      </c>
      <c r="M12" s="69">
        <f>IF(OR(M7="S24",M7="S54"),1,IF(Table!$D$21&lt;3,IF(Table!F23=1,1,0),IF(AND(Table!F23=1,Table!F24=1),1,0)))</f>
        <v>0</v>
      </c>
      <c r="N12" s="69">
        <f>IF(OR(N7="S24",N7="S54"),1,IF(Table!$D$21&lt;3,IF(Table!G23=1,1,0),IF(AND(Table!G23=1,Table!G24=1),1,0)))</f>
        <v>0</v>
      </c>
      <c r="O12" s="69">
        <f>IF(OR(O7="S24",O7="S54"),1,IF(Table!$D$21&lt;3,IF(Table!H23=1,1,0),IF(AND(Table!H23=1,Table!H24=1),1,0)))</f>
        <v>0</v>
      </c>
      <c r="P12" s="69">
        <f>IF(OR(P7="S24",P7="S54"),1,IF(Table!$D$21&lt;3,IF(Table!I23=1,1,0),IF(AND(Table!I23=1,Table!I24=1),1,0)))</f>
        <v>0</v>
      </c>
      <c r="Q12" s="69">
        <f>IF(OR(Q7="S24",Q7="S54"),1,IF(Table!$D$21&lt;3,IF(Table!J23=1,1,0),IF(AND(Table!J23=1,Table!J24=1),1,0)))</f>
        <v>0</v>
      </c>
      <c r="R12" s="69">
        <f>IF(OR(R7="S24",R7="S54"),1,IF(Table!$D$21&lt;3,IF(Table!K23=1,1,0),IF(AND(Table!K23=1,Table!K24=1),1,0)))</f>
        <v>0</v>
      </c>
      <c r="S12" s="69">
        <f>IF(OR(S7="S24",S7="S54"),1,IF(Table!$D$21&lt;3,IF(Table!L23=1,1,0),IF(AND(Table!L23=1,Table!L24=1),1,0)))</f>
        <v>0</v>
      </c>
      <c r="T12" s="69">
        <f>IF(OR(T7="S24",T7="S54"),1,IF(Table!$D$21&lt;3,IF(Table!M23=1,1,0),IF(AND(Table!M23=1,Table!M24=1),1,0)))</f>
        <v>0</v>
      </c>
      <c r="U12" s="69">
        <f>IF(OR(U7="S24",U7="S54"),1,IF(Table!$D$21&lt;3,IF(Table!N23=1,1,0),IF(AND(Table!N23=1,Table!N24=1),1,0)))</f>
        <v>0</v>
      </c>
      <c r="V12" s="69">
        <f>IF(OR(V7="S24",V7="S54"),1,IF(Table!$D$21&lt;3,IF(Table!O23=1,1,0),IF(AND(Table!O23=1,Table!O24=1),1,0)))</f>
        <v>0</v>
      </c>
      <c r="W12" s="69">
        <f>IF(OR(W7="S24",W7="S54"),1,IF(Table!$D$21&lt;3,IF(Table!P23=1,1,0),IF(AND(Table!P23=1,Table!P24=1),1,0)))</f>
        <v>0</v>
      </c>
      <c r="X12" s="69">
        <f>IF(OR(X7="S24",X7="S54"),1,IF(Table!$D$21&lt;3,IF(Table!Q23=1,1,0),IF(AND(Table!Q23=1,Table!Q24=1),1,0)))</f>
        <v>0</v>
      </c>
    </row>
    <row r="13" spans="2:25" ht="14.9" customHeight="1">
      <c r="B13" s="864" t="s">
        <v>353</v>
      </c>
      <c r="C13" s="865"/>
      <c r="D13" s="865"/>
      <c r="E13" s="866"/>
      <c r="F13" s="587" t="str">
        <f>IF(OR(F7="L32",F7="L52",F7="L53"),"LTO","3592")</f>
        <v>3592</v>
      </c>
      <c r="G13" s="588"/>
      <c r="H13" s="588"/>
      <c r="I13" s="589"/>
      <c r="J13" s="7" t="str">
        <f t="shared" ref="J13:X13" si="1">IF(OR(J7="D32",J7="D52",J7="D53",J7="S54"),"LTO",IF(OR(J7="D22",J7="D23",J7="S24"),"3592","N/A"))</f>
        <v>3592</v>
      </c>
      <c r="K13" s="7" t="str">
        <f t="shared" si="1"/>
        <v>3592</v>
      </c>
      <c r="L13" s="7" t="str">
        <f t="shared" si="1"/>
        <v>3592</v>
      </c>
      <c r="M13" s="7" t="str">
        <f t="shared" si="1"/>
        <v>3592</v>
      </c>
      <c r="N13" s="7" t="str">
        <f t="shared" si="1"/>
        <v>3592</v>
      </c>
      <c r="O13" s="7" t="str">
        <f t="shared" si="1"/>
        <v>3592</v>
      </c>
      <c r="P13" s="7" t="str">
        <f t="shared" si="1"/>
        <v>3592</v>
      </c>
      <c r="Q13" s="7" t="str">
        <f t="shared" si="1"/>
        <v>3592</v>
      </c>
      <c r="R13" s="7" t="str">
        <f t="shared" si="1"/>
        <v>3592</v>
      </c>
      <c r="S13" s="7" t="str">
        <f t="shared" si="1"/>
        <v>3592</v>
      </c>
      <c r="T13" s="7" t="str">
        <f t="shared" si="1"/>
        <v>3592</v>
      </c>
      <c r="U13" s="7" t="str">
        <f t="shared" si="1"/>
        <v>3592</v>
      </c>
      <c r="V13" s="7" t="str">
        <f t="shared" si="1"/>
        <v>3592</v>
      </c>
      <c r="W13" s="7" t="str">
        <f t="shared" si="1"/>
        <v>3592</v>
      </c>
      <c r="X13" s="7" t="str">
        <f t="shared" si="1"/>
        <v>3592</v>
      </c>
    </row>
    <row r="14" spans="2:25" ht="14.9" customHeight="1" thickBot="1">
      <c r="B14" s="844" t="s">
        <v>354</v>
      </c>
      <c r="C14" s="845"/>
      <c r="D14" s="845"/>
      <c r="E14" s="846"/>
      <c r="F14" s="605">
        <f>INDEX(Table!E7:K12,Table!D15,Table!D16)</f>
        <v>260</v>
      </c>
      <c r="G14" s="606"/>
      <c r="H14" s="606"/>
      <c r="I14" s="607"/>
      <c r="J14" s="63">
        <f>IF(J6&gt;$F$5,0,IF(OR(J7="S24",J7="S54"),INDEX(Table!$P$7:$Q$8,IF(J10="Base",1,2),IF(J7="S24",1,2)),INDEX(Table!$L$9:$N$12,1+ROUNDUP(J9/4,0),IF(OR(J7="D22",J7="D23"),1,IF(J7="D32",2,IF(OR(J7="D52",J7="D53"),3,3))))-IF($F13&lt;&gt;J13,IF(COUNTIF($J13:J13,J13)=1,1,0),0) - IF(AND(J7="D23",J10=Names!$C$155),160,IF(AND(J7="D53",J10=Names!$C$155),176,0))))</f>
        <v>383</v>
      </c>
      <c r="K14" s="63">
        <f>IF(K6&gt;$F$5,0,IF(OR(K7="S24",K7="S54"),INDEX(Table!$P$7:$Q$8,IF(K10="Base",1,2),IF(K7="S24",1,2)),INDEX(Table!$L$9:$N$12,1+ROUNDUP(K9/4,0),IF(OR(K7="D22",K7="D23"),1,IF(K7="D32",2,IF(OR(K7="D52",K7="D53"),3,3))))-IF($F13&lt;&gt;K13,IF(COUNTIF($J13:K13,K13)=1,1,0),0) - IF(AND(K7="D23",K10=Names!$C$155),160,IF(AND(K7="D53",K10=Names!$C$155),176,0))))</f>
        <v>0</v>
      </c>
      <c r="L14" s="63">
        <f>IF(L6&gt;$F$5,0,IF(OR(L7="S24",L7="S54"),INDEX(Table!$P$7:$Q$8,IF(L10="Base",1,2),IF(L7="S24",1,2)),INDEX(Table!$L$9:$N$12,1+ROUNDUP(L9/4,0),IF(OR(L7="D22",L7="D23"),1,IF(L7="D32",2,IF(OR(L7="D52",L7="D53"),3,3))))-IF($F13&lt;&gt;L13,IF(COUNTIF($J13:L13,L13)=1,1,0),0) - IF(AND(L7="D23",L10=Names!$C$155),160,IF(AND(L7="D53",L10=Names!$C$155),176,0))))</f>
        <v>0</v>
      </c>
      <c r="M14" s="63">
        <f>IF(M6&gt;$F$5,0,IF(OR(M7="S24",M7="S54"),INDEX(Table!$P$7:$Q$8,IF(M10="Base",1,2),IF(M7="S24",1,2)),INDEX(Table!$L$9:$N$12,1+ROUNDUP(M9/4,0),IF(OR(M7="D22",M7="D23"),1,IF(M7="D32",2,IF(OR(M7="D52",M7="D53"),3,3))))-IF($F13&lt;&gt;M13,IF(COUNTIF($J13:M13,M13)=1,1,0),0) - IF(AND(M7="D23",M10=Names!$C$155),160,IF(AND(M7="D53",M10=Names!$C$155),176,0))))</f>
        <v>0</v>
      </c>
      <c r="N14" s="63">
        <f>IF(N6&gt;$F$5,0,IF(OR(N7="S24",N7="S54"),INDEX(Table!$P$7:$Q$8,IF(N10="Base",1,2),IF(N7="S24",1,2)),INDEX(Table!$L$9:$N$12,1+ROUNDUP(N9/4,0),IF(OR(N7="D22",N7="D23"),1,IF(N7="D32",2,IF(OR(N7="D52",N7="D53"),3,3))))-IF($F13&lt;&gt;N13,IF(COUNTIF($J13:N13,N13)=1,1,0),0) - IF(AND(N7="D23",N10=Names!$C$155),160,IF(AND(N7="D53",N10=Names!$C$155),176,0))))</f>
        <v>0</v>
      </c>
      <c r="O14" s="63">
        <f>IF(O6&gt;$F$5,0,IF(OR(O7="S24",O7="S54"),INDEX(Table!$P$7:$Q$8,IF(O10="Base",1,2),IF(O7="S24",1,2)),INDEX(Table!$L$9:$N$12,1+ROUNDUP(O9/4,0),IF(OR(O7="D22",O7="D23"),1,IF(O7="D32",2,IF(OR(O7="D52",O7="D53"),3,3))))-IF($F13&lt;&gt;O13,IF(COUNTIF($J13:O13,O13)=1,1,0),0) - IF(AND(O7="D23",O10=Names!$C$155),160,IF(AND(O7="D53",O10=Names!$C$155),176,0))))</f>
        <v>0</v>
      </c>
      <c r="P14" s="63">
        <f>IF(P6&gt;$F$5,0,IF(OR(P7="S24",P7="S54"),INDEX(Table!$P$7:$Q$8,IF(P10="Base",1,2),IF(P7="S24",1,2)),INDEX(Table!$L$9:$N$12,1+ROUNDUP(P9/4,0),IF(OR(P7="D22",P7="D23"),1,IF(P7="D32",2,IF(OR(P7="D52",P7="D53"),3,3))))-IF($F13&lt;&gt;P13,IF(COUNTIF($J13:P13,P13)=1,1,0),0) - IF(AND(P7="D23",P10=Names!$C$155),160,IF(AND(P7="D53",P10=Names!$C$155),176,0))))</f>
        <v>0</v>
      </c>
      <c r="Q14" s="63">
        <f>IF(Q6&gt;$F$5,0,IF(OR(Q7="S24",Q7="S54"),INDEX(Table!$P$7:$Q$8,IF(Q10="Base",1,2),IF(Q7="S24",1,2)),INDEX(Table!$L$9:$N$12,1+ROUNDUP(Q9/4,0),IF(OR(Q7="D22",Q7="D23"),1,IF(Q7="D32",2,IF(OR(Q7="D52",Q7="D53"),3,3))))-IF($F13&lt;&gt;Q13,IF(COUNTIF($J13:Q13,Q13)=1,1,0),0) - IF(AND(Q7="D23",Q10=Names!$C$155),160,IF(AND(Q7="D53",Q10=Names!$C$155),176,0))))</f>
        <v>0</v>
      </c>
      <c r="R14" s="63">
        <f>IF(R6&gt;$F$5,0,IF(OR(R7="S24",R7="S54"),INDEX(Table!$P$7:$Q$8,IF(R10="Base",1,2),IF(R7="S24",1,2)),INDEX(Table!$L$9:$N$12,1+ROUNDUP(R9/4,0),IF(OR(R7="D22",R7="D23"),1,IF(R7="D32",2,IF(OR(R7="D52",R7="D53"),3,3))))-IF($F13&lt;&gt;R13,IF(COUNTIF($J13:R13,R13)=1,1,0),0) - IF(AND(R7="D23",R10=Names!$C$155),160,IF(AND(R7="D53",R10=Names!$C$155),176,0))))</f>
        <v>0</v>
      </c>
      <c r="S14" s="63">
        <f>IF(S6&gt;$F$5,0,IF(OR(S7="S24",S7="S54"),INDEX(Table!$P$7:$Q$8,IF(S10="Base",1,2),IF(S7="S24",1,2)),INDEX(Table!$L$9:$N$12,1+ROUNDUP(S9/4,0),IF(OR(S7="D22",S7="D23"),1,IF(S7="D32",2,IF(OR(S7="D52",S7="D53"),3,3))))-IF($F13&lt;&gt;S13,IF(COUNTIF($J13:S13,S13)=1,1,0),0) - IF(AND(S7="D23",S10=Names!$C$155),160,IF(AND(S7="D53",S10=Names!$C$155),176,0))))</f>
        <v>0</v>
      </c>
      <c r="T14" s="63">
        <f>IF(T6&gt;$F$5,0,IF(OR(T7="S24",T7="S54"),INDEX(Table!$P$7:$Q$8,IF(T10="Base",1,2),IF(T7="S24",1,2)),INDEX(Table!$L$9:$N$12,1+ROUNDUP(T9/4,0),IF(OR(T7="D22",T7="D23"),1,IF(T7="D32",2,IF(OR(T7="D52",T7="D53"),3,3))))-IF($F13&lt;&gt;T13,IF(COUNTIF($J13:T13,T13)=1,1,0),0) - IF(AND(T7="D23",T10=Names!$C$155),160,IF(AND(T7="D53",T10=Names!$C$155),176,0))))</f>
        <v>0</v>
      </c>
      <c r="U14" s="63">
        <f>IF(U6&gt;$F$5,0,IF(OR(U7="S24",U7="S54"),INDEX(Table!$P$7:$Q$8,IF(U10="Base",1,2),IF(U7="S24",1,2)),INDEX(Table!$L$9:$N$12,1+ROUNDUP(U9/4,0),IF(OR(U7="D22",U7="D23"),1,IF(U7="D32",2,IF(OR(U7="D52",U7="D53"),3,3))))-IF($F13&lt;&gt;U13,IF(COUNTIF($J13:U13,U13)=1,1,0),0) - IF(AND(U7="D23",U10=Names!$C$155),160,IF(AND(U7="D53",U10=Names!$C$155),176,0))))</f>
        <v>0</v>
      </c>
      <c r="V14" s="63">
        <f>IF(V6&gt;$F$5,0,IF(OR(V7="S24",V7="S54"),INDEX(Table!$P$7:$Q$8,IF(V10="Base",1,2),IF(V7="S24",1,2)),INDEX(Table!$L$9:$N$12,1+ROUNDUP(V9/4,0),IF(OR(V7="D22",V7="D23"),1,IF(V7="D32",2,IF(OR(V7="D52",V7="D53"),3,3))))-IF($F13&lt;&gt;V13,IF(COUNTIF($J13:V13,V13)=1,1,0),0) - IF(AND(V7="D23",V10=Names!$C$155),160,IF(AND(V7="D53",V10=Names!$C$155),176,0))))</f>
        <v>0</v>
      </c>
      <c r="W14" s="63">
        <f>IF(W6&gt;$F$5,0,IF(OR(W7="S24",W7="S54"),INDEX(Table!$P$7:$Q$8,IF(W10="Base",1,2),IF(W7="S24",1,2)),INDEX(Table!$L$9:$N$12,1+ROUNDUP(W9/4,0),IF(OR(W7="D22",W7="D23"),1,IF(W7="D32",2,IF(OR(W7="D52",W7="D53"),3,3))))-IF($F13&lt;&gt;W13,IF(COUNTIF($J13:W13,W13)=1,1,0),0) - IF(AND(W7="D23",W10=Names!$C$155),160,IF(AND(W7="D53",W10=Names!$C$155),176,0))))</f>
        <v>0</v>
      </c>
      <c r="X14" s="63">
        <f>IF(X6&gt;$F$5,0,IF(OR(X7="S24",X7="S54"),INDEX(Table!$P$7:$Q$8,IF(X10="Base",1,2),IF(X7="S24",1,2)),INDEX(Table!$L$9:$N$12,1+ROUNDUP(X9/4,0),IF(OR(X7="D22",X7="D23"),1,IF(X7="D32",2,IF(OR(X7="D52",X7="D53"),3,3))))-IF($F13&lt;&gt;X13,IF(COUNTIF($J13:X13,X13)=1,1,0),0) - IF(AND(X7="D23",X10=Names!$C$155),160,IF(AND(X7="D53",X10=Names!$C$155),176,0))))</f>
        <v>0</v>
      </c>
    </row>
    <row r="15" spans="2:25" ht="14.9" customHeight="1" thickBot="1">
      <c r="B15" s="830" t="s">
        <v>355</v>
      </c>
      <c r="C15" s="831"/>
      <c r="D15" s="831"/>
      <c r="E15" s="831"/>
      <c r="F15" s="364" t="b">
        <f ca="1">OR(MATCH($F$10,INDIRECT(indirectod), FALSE), MATCH($F$11,INDIRECT(indirectio),FALSE),J5,K5,L5,M5,N5,O5,P5,Q5,R5,S5,T5,U5,V5,W5,X5)</f>
        <v>1</v>
      </c>
      <c r="G15" s="610">
        <f>M15+S15</f>
        <v>643</v>
      </c>
      <c r="H15" s="611"/>
      <c r="I15" s="834" t="s">
        <v>177</v>
      </c>
      <c r="J15" s="834"/>
      <c r="K15" s="834"/>
      <c r="L15" s="835"/>
      <c r="M15" s="836">
        <f>SUMIF($F13:$X13,"=LTO",$F$14:$X$14)</f>
        <v>0</v>
      </c>
      <c r="N15" s="837"/>
      <c r="O15" s="616" t="s">
        <v>175</v>
      </c>
      <c r="P15" s="616"/>
      <c r="Q15" s="616"/>
      <c r="R15" s="617"/>
      <c r="S15" s="832">
        <f>SUMIF(F13:X13,"=3592",F14:X14)</f>
        <v>643</v>
      </c>
      <c r="T15" s="833"/>
      <c r="U15" s="708" t="s">
        <v>176</v>
      </c>
      <c r="V15" s="708"/>
      <c r="W15" s="708"/>
      <c r="X15" s="709"/>
      <c r="Y15" s="64"/>
    </row>
    <row r="16" spans="2:25" ht="14.9" customHeight="1" thickBot="1">
      <c r="B16" s="65"/>
      <c r="C16" s="6"/>
      <c r="D16" s="6"/>
      <c r="E16" s="6"/>
      <c r="F16" s="66"/>
      <c r="G16" s="67"/>
      <c r="H16" s="67"/>
      <c r="I16" s="68"/>
      <c r="J16" s="6"/>
      <c r="K16" s="6"/>
      <c r="L16" s="6"/>
      <c r="M16" s="142"/>
      <c r="N16" s="143"/>
      <c r="O16" s="6"/>
      <c r="P16" s="6"/>
      <c r="Q16" s="6"/>
      <c r="R16" s="6"/>
      <c r="S16" s="142"/>
      <c r="T16" s="143"/>
      <c r="U16" s="6"/>
      <c r="V16" s="6"/>
      <c r="W16" s="6"/>
      <c r="X16" s="6"/>
      <c r="Y16" s="64"/>
    </row>
    <row r="17" spans="2:36" ht="14.9" customHeight="1" thickTop="1" thickBot="1">
      <c r="B17" s="847" t="s">
        <v>302</v>
      </c>
      <c r="C17" s="848"/>
      <c r="D17" s="848"/>
      <c r="E17" s="849"/>
      <c r="F17" s="883" t="s">
        <v>567</v>
      </c>
      <c r="G17" s="853"/>
      <c r="H17" s="632" t="s">
        <v>575</v>
      </c>
      <c r="I17" s="632"/>
      <c r="J17" s="852" t="s">
        <v>337</v>
      </c>
      <c r="K17" s="853"/>
      <c r="L17" s="840" t="s">
        <v>336</v>
      </c>
      <c r="M17" s="841"/>
      <c r="N17" s="840" t="s">
        <v>335</v>
      </c>
      <c r="O17" s="841"/>
      <c r="P17" s="840" t="s">
        <v>152</v>
      </c>
      <c r="Q17" s="841"/>
      <c r="R17" s="840" t="s">
        <v>153</v>
      </c>
      <c r="S17" s="841"/>
      <c r="T17" s="840" t="s">
        <v>154</v>
      </c>
      <c r="U17" s="841"/>
      <c r="V17" s="840" t="s">
        <v>155</v>
      </c>
      <c r="W17" s="856"/>
      <c r="X17" s="10"/>
      <c r="Y17" s="10"/>
      <c r="Z17" s="10"/>
      <c r="AA17" s="10"/>
      <c r="AB17" s="10"/>
      <c r="AC17" s="10"/>
      <c r="AD17" s="10"/>
      <c r="AE17" s="10"/>
      <c r="AF17" s="10"/>
    </row>
    <row r="18" spans="2:36" ht="14.9" customHeight="1" thickBot="1">
      <c r="B18" s="850"/>
      <c r="C18" s="850"/>
      <c r="D18" s="850"/>
      <c r="E18" s="851"/>
      <c r="F18" s="884"/>
      <c r="G18" s="855"/>
      <c r="H18" s="634"/>
      <c r="I18" s="634"/>
      <c r="J18" s="854"/>
      <c r="K18" s="855"/>
      <c r="L18" s="842"/>
      <c r="M18" s="843"/>
      <c r="N18" s="842"/>
      <c r="O18" s="843"/>
      <c r="P18" s="842"/>
      <c r="Q18" s="843"/>
      <c r="R18" s="842"/>
      <c r="S18" s="843"/>
      <c r="T18" s="842"/>
      <c r="U18" s="843"/>
      <c r="V18" s="842"/>
      <c r="W18" s="857"/>
      <c r="X18" s="10"/>
      <c r="Y18" s="10"/>
      <c r="Z18" s="10"/>
      <c r="AA18" s="10"/>
      <c r="AB18" s="10"/>
      <c r="AC18" s="10"/>
      <c r="AD18" s="10"/>
      <c r="AE18" s="10"/>
      <c r="AF18" s="10"/>
    </row>
    <row r="19" spans="2:36" ht="14.9" customHeight="1" thickTop="1" thickBot="1">
      <c r="B19" s="667" t="s">
        <v>178</v>
      </c>
      <c r="C19" s="580"/>
      <c r="D19" s="580"/>
      <c r="E19" s="581"/>
      <c r="F19" s="875">
        <f>ROUNDDOWN(12000*$M$15*VLOOKUP($B19,Names!$C$209:$D$213,2,FALSE)/1000,0)</f>
        <v>0</v>
      </c>
      <c r="G19" s="878" t="e">
        <f>ROUNDDOWN(800*#REF!/1000,0)</f>
        <v>#REF!</v>
      </c>
      <c r="H19" s="875">
        <f>ROUNDDOWN(9000*$M$15*VLOOKUP($B19,Names!$C$209:$D$213,2,FALSE)/1000,0)</f>
        <v>0</v>
      </c>
      <c r="I19" s="878" t="e">
        <f>ROUNDDOWN(800*#REF!/1000,0)</f>
        <v>#REF!</v>
      </c>
      <c r="J19" s="875">
        <f>ROUNDDOWN(6000*$M$15*VLOOKUP($B19,Names!$C$209:$D$213,2,FALSE)/1000,0)</f>
        <v>0</v>
      </c>
      <c r="K19" s="878" t="e">
        <f>ROUNDDOWN(800*#REF!/1000,0)</f>
        <v>#REF!</v>
      </c>
      <c r="L19" s="875">
        <f>ROUNDDOWN(2500*$M$15*VLOOKUP($B19,Names!$C$209:$D$213,2,FALSE)/1000,0)</f>
        <v>0</v>
      </c>
      <c r="M19" s="878" t="e">
        <f>ROUNDDOWN(800*#REF!/1000,0)</f>
        <v>#REF!</v>
      </c>
      <c r="N19" s="875">
        <f>ROUNDDOWN(1500*$M$15*VLOOKUP($B19,Names!$C$209:$D$213,2,FALSE)/1000,0)</f>
        <v>0</v>
      </c>
      <c r="O19" s="874" t="e">
        <f>ROUNDDOWN(800*#REF!/1000,0)</f>
        <v>#REF!</v>
      </c>
      <c r="P19" s="874">
        <f>ROUNDDOWN(800*$M$15*VLOOKUP($B19,Names!$C$209:$D$213,2,FALSE)/1000,0)</f>
        <v>0</v>
      </c>
      <c r="Q19" s="875"/>
      <c r="R19" s="874">
        <f>ROUNDDOWN(400*$M$15*VLOOKUP($B19,Names!$C$209:$D$213,2,FALSE)/1000,0)</f>
        <v>0</v>
      </c>
      <c r="S19" s="875"/>
      <c r="T19" s="874">
        <f>ROUNDDOWN(200*$M$15*VLOOKUP($B19,Names!$C$209:$D$213,2,FALSE)/1000,0)</f>
        <v>0</v>
      </c>
      <c r="U19" s="875"/>
      <c r="V19" s="878">
        <f>ROUNDDOWN(100*$M$15*VLOOKUP($B19,Names!$C$209:$D$213,2,FALSE)/1000,0)</f>
        <v>0</v>
      </c>
      <c r="W19" s="885"/>
      <c r="X19" s="10"/>
      <c r="Y19" s="10"/>
      <c r="Z19" s="10"/>
      <c r="AA19" s="10"/>
      <c r="AB19" s="10"/>
      <c r="AC19" s="10"/>
      <c r="AD19" s="10"/>
      <c r="AE19" s="10"/>
      <c r="AF19" s="10"/>
    </row>
    <row r="20" spans="2:36" ht="14.9" customHeight="1" thickTop="1" thickBot="1">
      <c r="B20" s="205"/>
      <c r="C20" s="205"/>
      <c r="D20" s="205"/>
      <c r="E20" s="205"/>
      <c r="F20" s="397"/>
      <c r="G20" s="398"/>
      <c r="H20" s="398"/>
      <c r="I20" s="204"/>
      <c r="J20" s="204"/>
      <c r="K20" s="204"/>
      <c r="L20" s="204"/>
      <c r="M20" s="204"/>
      <c r="N20" s="204"/>
      <c r="O20" s="204"/>
      <c r="P20" s="204"/>
      <c r="Q20" s="204"/>
      <c r="R20" s="204"/>
      <c r="S20" s="399"/>
      <c r="T20" s="400"/>
      <c r="U20" s="400"/>
      <c r="V20" s="400"/>
      <c r="W20" s="400"/>
      <c r="X20" s="10"/>
      <c r="Y20" s="10"/>
      <c r="Z20" s="10"/>
      <c r="AA20" s="10"/>
      <c r="AB20" s="10"/>
      <c r="AC20" s="10"/>
      <c r="AD20" s="10"/>
      <c r="AE20" s="10"/>
      <c r="AF20" s="10"/>
    </row>
    <row r="21" spans="2:36" ht="14.9" customHeight="1" thickTop="1" thickBot="1">
      <c r="B21" s="653" t="s">
        <v>303</v>
      </c>
      <c r="C21" s="654"/>
      <c r="D21" s="654"/>
      <c r="E21" s="655"/>
      <c r="F21" s="656"/>
      <c r="G21" s="657"/>
      <c r="H21" s="658"/>
      <c r="I21" s="870" t="s">
        <v>605</v>
      </c>
      <c r="J21" s="871"/>
      <c r="K21" s="872"/>
      <c r="L21" s="873"/>
      <c r="M21" s="870" t="s">
        <v>599</v>
      </c>
      <c r="N21" s="871"/>
      <c r="O21" s="872"/>
      <c r="P21" s="873"/>
      <c r="Q21" s="870" t="s">
        <v>338</v>
      </c>
      <c r="R21" s="871"/>
      <c r="S21" s="872"/>
      <c r="T21" s="873"/>
      <c r="U21" s="870" t="s">
        <v>290</v>
      </c>
      <c r="V21" s="871"/>
      <c r="W21" s="872"/>
      <c r="X21" s="873"/>
      <c r="Y21" s="818" t="s">
        <v>299</v>
      </c>
      <c r="Z21" s="819"/>
      <c r="AA21" s="657"/>
      <c r="AB21" s="658"/>
      <c r="AC21" s="818" t="s">
        <v>291</v>
      </c>
      <c r="AD21" s="819"/>
      <c r="AE21" s="657"/>
      <c r="AF21" s="658"/>
      <c r="AG21" s="818" t="s">
        <v>300</v>
      </c>
      <c r="AH21" s="819"/>
      <c r="AI21" s="657"/>
      <c r="AJ21" s="925"/>
    </row>
    <row r="22" spans="2:36" ht="14.9" customHeight="1" thickBot="1">
      <c r="B22" s="654"/>
      <c r="C22" s="654"/>
      <c r="D22" s="654"/>
      <c r="E22" s="655"/>
      <c r="F22" s="724" t="s">
        <v>298</v>
      </c>
      <c r="G22" s="725"/>
      <c r="H22" s="726"/>
      <c r="I22" s="727" t="s">
        <v>304</v>
      </c>
      <c r="J22" s="728"/>
      <c r="K22" s="731" t="s">
        <v>296</v>
      </c>
      <c r="L22" s="732"/>
      <c r="M22" s="727" t="s">
        <v>304</v>
      </c>
      <c r="N22" s="728"/>
      <c r="O22" s="731" t="s">
        <v>296</v>
      </c>
      <c r="P22" s="732"/>
      <c r="Q22" s="727" t="s">
        <v>304</v>
      </c>
      <c r="R22" s="728"/>
      <c r="S22" s="731" t="s">
        <v>296</v>
      </c>
      <c r="T22" s="732"/>
      <c r="U22" s="727" t="s">
        <v>304</v>
      </c>
      <c r="V22" s="728"/>
      <c r="W22" s="731" t="s">
        <v>296</v>
      </c>
      <c r="X22" s="732"/>
      <c r="Y22" s="727" t="s">
        <v>304</v>
      </c>
      <c r="Z22" s="728"/>
      <c r="AA22" s="731" t="s">
        <v>296</v>
      </c>
      <c r="AB22" s="732"/>
      <c r="AC22" s="727" t="s">
        <v>304</v>
      </c>
      <c r="AD22" s="728"/>
      <c r="AE22" s="731" t="s">
        <v>296</v>
      </c>
      <c r="AF22" s="732"/>
      <c r="AG22" s="727" t="s">
        <v>304</v>
      </c>
      <c r="AH22" s="728"/>
      <c r="AI22" s="731" t="s">
        <v>296</v>
      </c>
      <c r="AJ22" s="737"/>
    </row>
    <row r="23" spans="2:36" ht="14.9" customHeight="1" thickBot="1">
      <c r="B23" s="654"/>
      <c r="C23" s="654"/>
      <c r="D23" s="654"/>
      <c r="E23" s="655"/>
      <c r="F23" s="721" t="s">
        <v>297</v>
      </c>
      <c r="G23" s="722"/>
      <c r="H23" s="365" t="s">
        <v>583</v>
      </c>
      <c r="I23" s="729"/>
      <c r="J23" s="730"/>
      <c r="K23" s="733"/>
      <c r="L23" s="734"/>
      <c r="M23" s="729"/>
      <c r="N23" s="730"/>
      <c r="O23" s="733"/>
      <c r="P23" s="734"/>
      <c r="Q23" s="729"/>
      <c r="R23" s="730"/>
      <c r="S23" s="733"/>
      <c r="T23" s="734"/>
      <c r="U23" s="729"/>
      <c r="V23" s="730"/>
      <c r="W23" s="733"/>
      <c r="X23" s="734"/>
      <c r="Y23" s="729"/>
      <c r="Z23" s="730"/>
      <c r="AA23" s="733"/>
      <c r="AB23" s="734"/>
      <c r="AC23" s="729"/>
      <c r="AD23" s="730"/>
      <c r="AE23" s="733"/>
      <c r="AF23" s="734"/>
      <c r="AG23" s="729"/>
      <c r="AH23" s="730"/>
      <c r="AI23" s="733"/>
      <c r="AJ23" s="738"/>
    </row>
    <row r="24" spans="2:36" ht="14.9" customHeight="1" thickTop="1" thickBot="1">
      <c r="B24" s="668" t="s">
        <v>178</v>
      </c>
      <c r="C24" s="669"/>
      <c r="D24" s="669"/>
      <c r="E24" s="670"/>
      <c r="F24" s="701" t="s">
        <v>606</v>
      </c>
      <c r="G24" s="702"/>
      <c r="H24" s="366" t="s">
        <v>604</v>
      </c>
      <c r="I24" s="805">
        <v>20000</v>
      </c>
      <c r="J24" s="806"/>
      <c r="K24" s="807">
        <f>ROUNDDOWN(I24*$S$15*VLOOKUP($B$24,Names!$C$209:$D$213,2,FALSE)/1000,0)</f>
        <v>12860</v>
      </c>
      <c r="L24" s="808" t="e">
        <v>#REF!</v>
      </c>
      <c r="M24" s="744" t="s">
        <v>285</v>
      </c>
      <c r="N24" s="745"/>
      <c r="O24" s="745"/>
      <c r="P24" s="746"/>
      <c r="Q24" s="744" t="s">
        <v>285</v>
      </c>
      <c r="R24" s="745"/>
      <c r="S24" s="745"/>
      <c r="T24" s="746"/>
      <c r="U24" s="744" t="s">
        <v>285</v>
      </c>
      <c r="V24" s="745"/>
      <c r="W24" s="745"/>
      <c r="X24" s="746"/>
      <c r="Y24" s="744" t="s">
        <v>285</v>
      </c>
      <c r="Z24" s="745"/>
      <c r="AA24" s="745"/>
      <c r="AB24" s="746"/>
      <c r="AC24" s="744" t="s">
        <v>285</v>
      </c>
      <c r="AD24" s="745"/>
      <c r="AE24" s="745"/>
      <c r="AF24" s="746"/>
      <c r="AG24" s="882" t="s">
        <v>285</v>
      </c>
      <c r="AH24" s="740"/>
      <c r="AI24" s="740"/>
      <c r="AJ24" s="741"/>
    </row>
    <row r="25" spans="2:36" ht="14.9" customHeight="1" thickBot="1">
      <c r="B25" s="671"/>
      <c r="C25" s="672"/>
      <c r="D25" s="672"/>
      <c r="E25" s="673"/>
      <c r="F25" s="923" t="s">
        <v>607</v>
      </c>
      <c r="G25" s="924"/>
      <c r="H25" s="518" t="s">
        <v>604</v>
      </c>
      <c r="I25" s="926">
        <v>5000</v>
      </c>
      <c r="J25" s="927"/>
      <c r="K25" s="807">
        <f>ROUNDDOWN(I25*$S$15*VLOOKUP($B$24,Names!$C$209:$D$213,2,FALSE)/1000,0)</f>
        <v>3215</v>
      </c>
      <c r="L25" s="808" t="e">
        <v>#REF!</v>
      </c>
      <c r="M25" s="744" t="s">
        <v>285</v>
      </c>
      <c r="N25" s="745"/>
      <c r="O25" s="745"/>
      <c r="P25" s="746"/>
      <c r="Q25" s="744" t="s">
        <v>285</v>
      </c>
      <c r="R25" s="745"/>
      <c r="S25" s="745"/>
      <c r="T25" s="746"/>
      <c r="U25" s="744" t="s">
        <v>285</v>
      </c>
      <c r="V25" s="745"/>
      <c r="W25" s="745"/>
      <c r="X25" s="746"/>
      <c r="Y25" s="744" t="s">
        <v>285</v>
      </c>
      <c r="Z25" s="745"/>
      <c r="AA25" s="745"/>
      <c r="AB25" s="746"/>
      <c r="AC25" s="744" t="s">
        <v>285</v>
      </c>
      <c r="AD25" s="745"/>
      <c r="AE25" s="745"/>
      <c r="AF25" s="746"/>
      <c r="AG25" s="882" t="s">
        <v>285</v>
      </c>
      <c r="AH25" s="740"/>
      <c r="AI25" s="740"/>
      <c r="AJ25" s="741"/>
    </row>
    <row r="26" spans="2:36" ht="14.9" customHeight="1" thickBot="1">
      <c r="B26" s="671"/>
      <c r="C26" s="672"/>
      <c r="D26" s="672"/>
      <c r="E26" s="673"/>
      <c r="F26" s="701" t="s">
        <v>330</v>
      </c>
      <c r="G26" s="702"/>
      <c r="H26" s="366" t="s">
        <v>334</v>
      </c>
      <c r="I26" s="805">
        <v>15000</v>
      </c>
      <c r="J26" s="806"/>
      <c r="K26" s="807">
        <f>ROUNDDOWN(I26*$S$15*VLOOKUP($B$24,Names!$C$209:$D$213,2,FALSE)/1000,0)</f>
        <v>9645</v>
      </c>
      <c r="L26" s="808" t="e">
        <v>#REF!</v>
      </c>
      <c r="M26" s="805">
        <v>15000</v>
      </c>
      <c r="N26" s="806"/>
      <c r="O26" s="807">
        <f>ROUNDDOWN(M26*$S$15*VLOOKUP($B$24,Names!$C$209:$D$213,2,FALSE)/1000,0)</f>
        <v>9645</v>
      </c>
      <c r="P26" s="808" t="e">
        <v>#REF!</v>
      </c>
      <c r="Q26" s="805">
        <v>10000</v>
      </c>
      <c r="R26" s="806"/>
      <c r="S26" s="807">
        <f>ROUNDDOWN(Q26*$S$15*VLOOKUP($B$24,Names!$C$209:$D$213,2,FALSE)/1000,0)</f>
        <v>6430</v>
      </c>
      <c r="T26" s="808" t="e">
        <v>#REF!</v>
      </c>
      <c r="U26" s="744" t="s">
        <v>285</v>
      </c>
      <c r="V26" s="745"/>
      <c r="W26" s="745"/>
      <c r="X26" s="746"/>
      <c r="Y26" s="744" t="s">
        <v>285</v>
      </c>
      <c r="Z26" s="745"/>
      <c r="AA26" s="745"/>
      <c r="AB26" s="746"/>
      <c r="AC26" s="744" t="s">
        <v>285</v>
      </c>
      <c r="AD26" s="745"/>
      <c r="AE26" s="745"/>
      <c r="AF26" s="746"/>
      <c r="AG26" s="882" t="s">
        <v>285</v>
      </c>
      <c r="AH26" s="740"/>
      <c r="AI26" s="740"/>
      <c r="AJ26" s="741"/>
    </row>
    <row r="27" spans="2:36" ht="14.9" customHeight="1" thickBot="1">
      <c r="B27" s="671"/>
      <c r="C27" s="672"/>
      <c r="D27" s="672"/>
      <c r="E27" s="673"/>
      <c r="F27" s="701" t="s">
        <v>331</v>
      </c>
      <c r="G27" s="702"/>
      <c r="H27" s="366" t="s">
        <v>334</v>
      </c>
      <c r="I27" s="805">
        <v>3000</v>
      </c>
      <c r="J27" s="809"/>
      <c r="K27" s="807">
        <f>ROUNDDOWN(I27*$S$15*VLOOKUP($B$24,Names!$C$209:$D$213,2,FALSE)/1000,0)</f>
        <v>1929</v>
      </c>
      <c r="L27" s="808" t="e">
        <v>#REF!</v>
      </c>
      <c r="M27" s="805">
        <v>3000</v>
      </c>
      <c r="N27" s="809"/>
      <c r="O27" s="807">
        <f>ROUNDDOWN(M27*$S$15*VLOOKUP($B$24,Names!$C$209:$D$213,2,FALSE)/1000,0)</f>
        <v>1929</v>
      </c>
      <c r="P27" s="808" t="e">
        <v>#REF!</v>
      </c>
      <c r="Q27" s="805">
        <v>2000</v>
      </c>
      <c r="R27" s="809"/>
      <c r="S27" s="807">
        <f>ROUNDDOWN(Q27*$S$15*VLOOKUP($B$24,Names!$C$209:$D$213,2,FALSE)/1000,0)</f>
        <v>1286</v>
      </c>
      <c r="T27" s="808" t="e">
        <v>#REF!</v>
      </c>
      <c r="U27" s="744" t="s">
        <v>285</v>
      </c>
      <c r="V27" s="745"/>
      <c r="W27" s="745"/>
      <c r="X27" s="746"/>
      <c r="Y27" s="744" t="s">
        <v>285</v>
      </c>
      <c r="Z27" s="745"/>
      <c r="AA27" s="745"/>
      <c r="AB27" s="746"/>
      <c r="AC27" s="744" t="s">
        <v>285</v>
      </c>
      <c r="AD27" s="745"/>
      <c r="AE27" s="745"/>
      <c r="AF27" s="746"/>
      <c r="AG27" s="882" t="s">
        <v>285</v>
      </c>
      <c r="AH27" s="740"/>
      <c r="AI27" s="740"/>
      <c r="AJ27" s="741"/>
    </row>
    <row r="28" spans="2:36" ht="14.9" customHeight="1" thickBot="1">
      <c r="B28" s="671"/>
      <c r="C28" s="672"/>
      <c r="D28" s="672"/>
      <c r="E28" s="673"/>
      <c r="F28" s="677" t="s">
        <v>284</v>
      </c>
      <c r="G28" s="678"/>
      <c r="H28" s="367" t="s">
        <v>334</v>
      </c>
      <c r="I28" s="800">
        <v>7000</v>
      </c>
      <c r="J28" s="802"/>
      <c r="K28" s="803">
        <f>ROUNDDOWN(I28*$S$15*VLOOKUP($B$24,Names!$C$209:$D$213,2,FALSE)/1000,0)</f>
        <v>4501</v>
      </c>
      <c r="L28" s="804" t="e">
        <v>#REF!</v>
      </c>
      <c r="M28" s="800">
        <v>7000</v>
      </c>
      <c r="N28" s="802"/>
      <c r="O28" s="803">
        <f>ROUNDDOWN(M28*$S$15*VLOOKUP($B$24,Names!$C$209:$D$213,2,FALSE)/1000,0)</f>
        <v>4501</v>
      </c>
      <c r="P28" s="804" t="e">
        <v>#REF!</v>
      </c>
      <c r="Q28" s="800">
        <v>7000</v>
      </c>
      <c r="R28" s="802"/>
      <c r="S28" s="803">
        <f>ROUNDDOWN(Q28*$S$15*VLOOKUP($B$24,Names!$C$209:$D$213,2,FALSE)/1000,0)</f>
        <v>4501</v>
      </c>
      <c r="T28" s="804" t="e">
        <v>#REF!</v>
      </c>
      <c r="U28" s="744" t="s">
        <v>285</v>
      </c>
      <c r="V28" s="745"/>
      <c r="W28" s="745"/>
      <c r="X28" s="746"/>
      <c r="Y28" s="744" t="s">
        <v>285</v>
      </c>
      <c r="Z28" s="745"/>
      <c r="AA28" s="745"/>
      <c r="AB28" s="746"/>
      <c r="AC28" s="744" t="s">
        <v>285</v>
      </c>
      <c r="AD28" s="745"/>
      <c r="AE28" s="745"/>
      <c r="AF28" s="740"/>
      <c r="AG28" s="882" t="s">
        <v>285</v>
      </c>
      <c r="AH28" s="740"/>
      <c r="AI28" s="740"/>
      <c r="AJ28" s="741"/>
    </row>
    <row r="29" spans="2:36" ht="14.9" customHeight="1" thickBot="1">
      <c r="B29" s="671"/>
      <c r="C29" s="672"/>
      <c r="D29" s="672"/>
      <c r="E29" s="673"/>
      <c r="F29" s="679"/>
      <c r="G29" s="680"/>
      <c r="H29" s="368" t="s">
        <v>293</v>
      </c>
      <c r="I29" s="698" t="s">
        <v>608</v>
      </c>
      <c r="J29" s="699"/>
      <c r="K29" s="699"/>
      <c r="L29" s="700"/>
      <c r="M29" s="782">
        <v>4000</v>
      </c>
      <c r="N29" s="783"/>
      <c r="O29" s="876">
        <f>ROUNDDOWN(M29*$S$15*VLOOKUP($B$24,Names!$C$209:$D$213,2,FALSE)/1000,0)</f>
        <v>2572</v>
      </c>
      <c r="P29" s="877" t="e">
        <v>#REF!</v>
      </c>
      <c r="Q29" s="782">
        <v>4000</v>
      </c>
      <c r="R29" s="783"/>
      <c r="S29" s="876">
        <f>ROUNDDOWN(Q29*$S$15*VLOOKUP($B$24,Names!$C$209:$D$213,2,FALSE)/1000,0)</f>
        <v>2572</v>
      </c>
      <c r="T29" s="877" t="e">
        <v>#REF!</v>
      </c>
      <c r="U29" s="805">
        <v>4000</v>
      </c>
      <c r="V29" s="806"/>
      <c r="W29" s="820">
        <f>ROUNDDOWN(U29*$S$15*VLOOKUP($B$24,Names!$C$209:$D$213,2,FALSE)/1000,0)</f>
        <v>2572</v>
      </c>
      <c r="X29" s="821" t="e">
        <v>#REF!</v>
      </c>
      <c r="Y29" s="744" t="s">
        <v>285</v>
      </c>
      <c r="Z29" s="745"/>
      <c r="AA29" s="745"/>
      <c r="AB29" s="746"/>
      <c r="AC29" s="744" t="s">
        <v>285</v>
      </c>
      <c r="AD29" s="745"/>
      <c r="AE29" s="745"/>
      <c r="AF29" s="746"/>
      <c r="AG29" s="882" t="s">
        <v>285</v>
      </c>
      <c r="AH29" s="740"/>
      <c r="AI29" s="740"/>
      <c r="AJ29" s="741"/>
    </row>
    <row r="30" spans="2:36" ht="14.9" customHeight="1" thickBot="1">
      <c r="B30" s="671"/>
      <c r="C30" s="672"/>
      <c r="D30" s="672"/>
      <c r="E30" s="673"/>
      <c r="F30" s="677" t="s">
        <v>286</v>
      </c>
      <c r="G30" s="678"/>
      <c r="H30" s="369" t="s">
        <v>334</v>
      </c>
      <c r="I30" s="800">
        <v>900</v>
      </c>
      <c r="J30" s="801"/>
      <c r="K30" s="803">
        <f>ROUNDDOWN(I30*$S$15*VLOOKUP($B$24,Names!$C$209:$D$213,2,FALSE)/1000,0)</f>
        <v>578</v>
      </c>
      <c r="L30" s="804" t="e">
        <v>#REF!</v>
      </c>
      <c r="M30" s="800">
        <v>900</v>
      </c>
      <c r="N30" s="801"/>
      <c r="O30" s="803">
        <f>ROUNDDOWN(M30*$S$15*VLOOKUP($B$24,Names!$C$209:$D$213,2,FALSE)/1000,0)</f>
        <v>578</v>
      </c>
      <c r="P30" s="804" t="e">
        <v>#REF!</v>
      </c>
      <c r="Q30" s="800">
        <v>900</v>
      </c>
      <c r="R30" s="801"/>
      <c r="S30" s="803">
        <f>ROUNDDOWN(Q30*$S$15*VLOOKUP($B$24,Names!$C$209:$D$213,2,FALSE)/1000,0)</f>
        <v>578</v>
      </c>
      <c r="T30" s="804" t="e">
        <v>#REF!</v>
      </c>
      <c r="U30" s="744" t="s">
        <v>285</v>
      </c>
      <c r="V30" s="745"/>
      <c r="W30" s="745"/>
      <c r="X30" s="746"/>
      <c r="Y30" s="744" t="s">
        <v>285</v>
      </c>
      <c r="Z30" s="745"/>
      <c r="AA30" s="745"/>
      <c r="AB30" s="746"/>
      <c r="AC30" s="744" t="s">
        <v>285</v>
      </c>
      <c r="AD30" s="745"/>
      <c r="AE30" s="745"/>
      <c r="AF30" s="740"/>
      <c r="AG30" s="882" t="s">
        <v>285</v>
      </c>
      <c r="AH30" s="740"/>
      <c r="AI30" s="740"/>
      <c r="AJ30" s="741"/>
    </row>
    <row r="31" spans="2:36" ht="14.9" customHeight="1" thickBot="1">
      <c r="B31" s="671"/>
      <c r="C31" s="672"/>
      <c r="D31" s="672"/>
      <c r="E31" s="673"/>
      <c r="F31" s="679"/>
      <c r="G31" s="680"/>
      <c r="H31" s="368" t="s">
        <v>293</v>
      </c>
      <c r="I31" s="698" t="s">
        <v>608</v>
      </c>
      <c r="J31" s="699"/>
      <c r="K31" s="699"/>
      <c r="L31" s="700"/>
      <c r="M31" s="782">
        <v>500</v>
      </c>
      <c r="N31" s="783"/>
      <c r="O31" s="876">
        <f>ROUNDDOWN(M31*$S$15*VLOOKUP($B$24,Names!$C$209:$D$213,2,FALSE)/1000,0)</f>
        <v>321</v>
      </c>
      <c r="P31" s="877" t="e">
        <v>#REF!</v>
      </c>
      <c r="Q31" s="782">
        <v>500</v>
      </c>
      <c r="R31" s="783"/>
      <c r="S31" s="876">
        <f>ROUNDDOWN(Q31*$S$15*VLOOKUP($B$24,Names!$C$209:$D$213,2,FALSE)/1000,0)</f>
        <v>321</v>
      </c>
      <c r="T31" s="877" t="e">
        <v>#REF!</v>
      </c>
      <c r="U31" s="826">
        <v>500</v>
      </c>
      <c r="V31" s="827"/>
      <c r="W31" s="828">
        <f>ROUNDDOWN(U31*$S$15*VLOOKUP($B$24,Names!$C$209:$D$213,2,FALSE)/1000,0)</f>
        <v>321</v>
      </c>
      <c r="X31" s="829" t="e">
        <v>#REF!</v>
      </c>
      <c r="Y31" s="744" t="s">
        <v>285</v>
      </c>
      <c r="Z31" s="745"/>
      <c r="AA31" s="745"/>
      <c r="AB31" s="746"/>
      <c r="AC31" s="744" t="s">
        <v>285</v>
      </c>
      <c r="AD31" s="745"/>
      <c r="AE31" s="745"/>
      <c r="AF31" s="746"/>
      <c r="AG31" s="882" t="s">
        <v>285</v>
      </c>
      <c r="AH31" s="740"/>
      <c r="AI31" s="740"/>
      <c r="AJ31" s="741"/>
    </row>
    <row r="32" spans="2:36" ht="14.9" customHeight="1">
      <c r="B32" s="671"/>
      <c r="C32" s="672"/>
      <c r="D32" s="672"/>
      <c r="E32" s="673"/>
      <c r="F32" s="685" t="s">
        <v>182</v>
      </c>
      <c r="G32" s="685"/>
      <c r="H32" s="369" t="s">
        <v>293</v>
      </c>
      <c r="I32" s="688" t="s">
        <v>285</v>
      </c>
      <c r="J32" s="689"/>
      <c r="K32" s="690"/>
      <c r="L32" s="711"/>
      <c r="M32" s="688" t="s">
        <v>285</v>
      </c>
      <c r="N32" s="689"/>
      <c r="O32" s="690"/>
      <c r="P32" s="711"/>
      <c r="Q32" s="688" t="s">
        <v>285</v>
      </c>
      <c r="R32" s="689"/>
      <c r="S32" s="690"/>
      <c r="T32" s="690"/>
      <c r="U32" s="769">
        <v>1600</v>
      </c>
      <c r="V32" s="810" t="s">
        <v>287</v>
      </c>
      <c r="W32" s="824">
        <f>ROUNDDOWN(U32*$S$15*VLOOKUP($B$24,Names!$C$209:$D$213,2,FALSE)/1000,0)</f>
        <v>1028</v>
      </c>
      <c r="X32" s="825" t="e">
        <v>#REF!</v>
      </c>
      <c r="Y32" s="689" t="s">
        <v>285</v>
      </c>
      <c r="Z32" s="689"/>
      <c r="AA32" s="690"/>
      <c r="AB32" s="711"/>
      <c r="AC32" s="688" t="s">
        <v>285</v>
      </c>
      <c r="AD32" s="689"/>
      <c r="AE32" s="690"/>
      <c r="AF32" s="711"/>
      <c r="AG32" s="688" t="s">
        <v>285</v>
      </c>
      <c r="AH32" s="689"/>
      <c r="AI32" s="690"/>
      <c r="AJ32" s="781"/>
    </row>
    <row r="33" spans="2:36" ht="14.9" customHeight="1">
      <c r="B33" s="671"/>
      <c r="C33" s="672"/>
      <c r="D33" s="672"/>
      <c r="E33" s="673"/>
      <c r="F33" s="686"/>
      <c r="G33" s="686"/>
      <c r="H33" s="370" t="s">
        <v>294</v>
      </c>
      <c r="I33" s="691"/>
      <c r="J33" s="692"/>
      <c r="K33" s="693"/>
      <c r="L33" s="712"/>
      <c r="M33" s="691"/>
      <c r="N33" s="692"/>
      <c r="O33" s="693"/>
      <c r="P33" s="712"/>
      <c r="Q33" s="691"/>
      <c r="R33" s="692"/>
      <c r="S33" s="693"/>
      <c r="T33" s="693"/>
      <c r="U33" s="773">
        <v>1000</v>
      </c>
      <c r="V33" s="879" t="s">
        <v>288</v>
      </c>
      <c r="W33" s="822">
        <f>ROUNDDOWN(U33*$S$15*VLOOKUP($B$24,Names!$C$209:$D$213,2,FALSE)/1000,0)</f>
        <v>643</v>
      </c>
      <c r="X33" s="823" t="e">
        <v>#REF!</v>
      </c>
      <c r="Y33" s="891">
        <v>1000</v>
      </c>
      <c r="Z33" s="892">
        <v>160</v>
      </c>
      <c r="AA33" s="893">
        <f>ROUNDDOWN(Y33*$S$15*VLOOKUP($B$24,Names!$C$209:$D$213,2,FALSE)/1000,0)</f>
        <v>643</v>
      </c>
      <c r="AB33" s="894" t="e">
        <v>#REF!</v>
      </c>
      <c r="AC33" s="691" t="s">
        <v>285</v>
      </c>
      <c r="AD33" s="692"/>
      <c r="AE33" s="693"/>
      <c r="AF33" s="712"/>
      <c r="AG33" s="691" t="s">
        <v>285</v>
      </c>
      <c r="AH33" s="692"/>
      <c r="AI33" s="693"/>
      <c r="AJ33" s="886"/>
    </row>
    <row r="34" spans="2:36" ht="14.9" customHeight="1" thickBot="1">
      <c r="B34" s="671"/>
      <c r="C34" s="672"/>
      <c r="D34" s="672"/>
      <c r="E34" s="673"/>
      <c r="F34" s="687"/>
      <c r="G34" s="687"/>
      <c r="H34" s="371" t="s">
        <v>301</v>
      </c>
      <c r="I34" s="694"/>
      <c r="J34" s="695"/>
      <c r="K34" s="696"/>
      <c r="L34" s="719"/>
      <c r="M34" s="694"/>
      <c r="N34" s="695"/>
      <c r="O34" s="696"/>
      <c r="P34" s="719"/>
      <c r="Q34" s="694"/>
      <c r="R34" s="695"/>
      <c r="S34" s="696"/>
      <c r="T34" s="697"/>
      <c r="U34" s="906">
        <v>700</v>
      </c>
      <c r="V34" s="907" t="s">
        <v>289</v>
      </c>
      <c r="W34" s="880">
        <f>ROUNDDOWN(U34*$S$15*VLOOKUP($B$24,Names!$C$209:$D$213,2,FALSE)/1000,0)</f>
        <v>450</v>
      </c>
      <c r="X34" s="881" t="e">
        <v>#REF!</v>
      </c>
      <c r="Y34" s="905">
        <v>700</v>
      </c>
      <c r="Z34" s="903">
        <v>150</v>
      </c>
      <c r="AA34" s="820">
        <f>ROUNDDOWN(Y34*$S$15*VLOOKUP($B$24,Names!$C$209:$D$213,2,FALSE)/1000,0)</f>
        <v>450</v>
      </c>
      <c r="AB34" s="821" t="e">
        <v>#REF!</v>
      </c>
      <c r="AC34" s="887">
        <v>700</v>
      </c>
      <c r="AD34" s="904">
        <v>104</v>
      </c>
      <c r="AE34" s="889">
        <f>ROUNDDOWN(AC34*$S$15*VLOOKUP($B$24,Names!$C$209:$D$213,2,FALSE)/1000,0)</f>
        <v>450</v>
      </c>
      <c r="AF34" s="912" t="e">
        <v>#REF!</v>
      </c>
      <c r="AG34" s="691" t="s">
        <v>285</v>
      </c>
      <c r="AH34" s="692"/>
      <c r="AI34" s="693"/>
      <c r="AJ34" s="886"/>
    </row>
    <row r="35" spans="2:36" ht="14.9" customHeight="1">
      <c r="B35" s="671"/>
      <c r="C35" s="672"/>
      <c r="D35" s="672"/>
      <c r="E35" s="673"/>
      <c r="F35" s="685" t="s">
        <v>292</v>
      </c>
      <c r="G35" s="685"/>
      <c r="H35" s="369" t="s">
        <v>294</v>
      </c>
      <c r="I35" s="688" t="s">
        <v>285</v>
      </c>
      <c r="J35" s="689"/>
      <c r="K35" s="690"/>
      <c r="L35" s="711"/>
      <c r="M35" s="688" t="s">
        <v>285</v>
      </c>
      <c r="N35" s="689"/>
      <c r="O35" s="690"/>
      <c r="P35" s="711"/>
      <c r="Q35" s="688" t="s">
        <v>285</v>
      </c>
      <c r="R35" s="689"/>
      <c r="S35" s="690"/>
      <c r="T35" s="711"/>
      <c r="U35" s="749" t="s">
        <v>591</v>
      </c>
      <c r="V35" s="750"/>
      <c r="W35" s="751"/>
      <c r="X35" s="811"/>
      <c r="Y35" s="895">
        <v>640</v>
      </c>
      <c r="Z35" s="896">
        <v>143</v>
      </c>
      <c r="AA35" s="897">
        <f>ROUNDDOWN(Y35*$S$15*VLOOKUP($B$24,Names!$C$209:$D$213,2,FALSE)/1000,0)</f>
        <v>411</v>
      </c>
      <c r="AB35" s="898" t="e">
        <v>#REF!</v>
      </c>
      <c r="AC35" s="688" t="s">
        <v>285</v>
      </c>
      <c r="AD35" s="689"/>
      <c r="AE35" s="690"/>
      <c r="AF35" s="711"/>
      <c r="AG35" s="688" t="s">
        <v>285</v>
      </c>
      <c r="AH35" s="689"/>
      <c r="AI35" s="690"/>
      <c r="AJ35" s="781"/>
    </row>
    <row r="36" spans="2:36" ht="14.9" customHeight="1">
      <c r="B36" s="671"/>
      <c r="C36" s="672"/>
      <c r="D36" s="672"/>
      <c r="E36" s="673"/>
      <c r="F36" s="686"/>
      <c r="G36" s="686"/>
      <c r="H36" s="370" t="s">
        <v>301</v>
      </c>
      <c r="I36" s="691"/>
      <c r="J36" s="692"/>
      <c r="K36" s="693"/>
      <c r="L36" s="712"/>
      <c r="M36" s="691"/>
      <c r="N36" s="692"/>
      <c r="O36" s="693"/>
      <c r="P36" s="712"/>
      <c r="Q36" s="691"/>
      <c r="R36" s="692"/>
      <c r="S36" s="693"/>
      <c r="T36" s="712"/>
      <c r="U36" s="753"/>
      <c r="V36" s="754"/>
      <c r="W36" s="755"/>
      <c r="X36" s="812"/>
      <c r="Y36" s="901">
        <v>500</v>
      </c>
      <c r="Z36" s="892">
        <v>143</v>
      </c>
      <c r="AA36" s="899">
        <f>ROUNDDOWN(Y36*$S$15*VLOOKUP($B$24,Names!$C$209:$D$213,2,FALSE)/1000,0)</f>
        <v>321</v>
      </c>
      <c r="AB36" s="900" t="e">
        <v>#REF!</v>
      </c>
      <c r="AC36" s="913">
        <v>500</v>
      </c>
      <c r="AD36" s="879">
        <v>104</v>
      </c>
      <c r="AE36" s="893">
        <f>ROUNDDOWN(AC36*$S$15*VLOOKUP($B$24,Names!$C$209:$D$213,2,FALSE)/1000,0)</f>
        <v>321</v>
      </c>
      <c r="AF36" s="894" t="e">
        <v>#REF!</v>
      </c>
      <c r="AG36" s="691" t="s">
        <v>285</v>
      </c>
      <c r="AH36" s="692"/>
      <c r="AI36" s="693"/>
      <c r="AJ36" s="886"/>
    </row>
    <row r="37" spans="2:36" ht="14.9" customHeight="1" thickBot="1">
      <c r="B37" s="671"/>
      <c r="C37" s="672"/>
      <c r="D37" s="672"/>
      <c r="E37" s="673"/>
      <c r="F37" s="687"/>
      <c r="G37" s="687"/>
      <c r="H37" s="371" t="s">
        <v>295</v>
      </c>
      <c r="I37" s="694"/>
      <c r="J37" s="695"/>
      <c r="K37" s="696"/>
      <c r="L37" s="719"/>
      <c r="M37" s="694"/>
      <c r="N37" s="695"/>
      <c r="O37" s="696"/>
      <c r="P37" s="719"/>
      <c r="Q37" s="694"/>
      <c r="R37" s="695"/>
      <c r="S37" s="696"/>
      <c r="T37" s="719"/>
      <c r="U37" s="757"/>
      <c r="V37" s="813"/>
      <c r="W37" s="814"/>
      <c r="X37" s="815"/>
      <c r="Y37" s="902">
        <v>300</v>
      </c>
      <c r="Z37" s="903">
        <v>71</v>
      </c>
      <c r="AA37" s="820">
        <f>ROUNDDOWN(Y37*$S$15*VLOOKUP($B$24,Names!$C$209:$D$213,2,FALSE)/1000,0)</f>
        <v>192</v>
      </c>
      <c r="AB37" s="821" t="e">
        <v>#REF!</v>
      </c>
      <c r="AC37" s="887">
        <v>300</v>
      </c>
      <c r="AD37" s="904">
        <v>50</v>
      </c>
      <c r="AE37" s="820">
        <f>ROUNDDOWN(AC37*$S$15*VLOOKUP($B$24,Names!$C$209:$D$213,2,FALSE)/1000,0)</f>
        <v>192</v>
      </c>
      <c r="AF37" s="821" t="e">
        <v>#REF!</v>
      </c>
      <c r="AG37" s="887">
        <v>300</v>
      </c>
      <c r="AH37" s="888">
        <v>40</v>
      </c>
      <c r="AI37" s="889">
        <f>ROUNDDOWN(AG37*$S$15*VLOOKUP($B$24,Names!$C$209:$D$213,2,FALSE)/1000,0)</f>
        <v>192</v>
      </c>
      <c r="AJ37" s="890" t="e">
        <v>#REF!</v>
      </c>
    </row>
    <row r="38" spans="2:36" ht="14.9" customHeight="1">
      <c r="B38" s="671"/>
      <c r="C38" s="672"/>
      <c r="D38" s="672"/>
      <c r="E38" s="673"/>
      <c r="F38" s="685" t="s">
        <v>184</v>
      </c>
      <c r="G38" s="685"/>
      <c r="H38" s="369" t="s">
        <v>294</v>
      </c>
      <c r="I38" s="688" t="s">
        <v>285</v>
      </c>
      <c r="J38" s="689"/>
      <c r="K38" s="690"/>
      <c r="L38" s="711"/>
      <c r="M38" s="688" t="s">
        <v>285</v>
      </c>
      <c r="N38" s="689"/>
      <c r="O38" s="690"/>
      <c r="P38" s="711"/>
      <c r="Q38" s="688" t="s">
        <v>285</v>
      </c>
      <c r="R38" s="689"/>
      <c r="S38" s="690"/>
      <c r="T38" s="711"/>
      <c r="U38" s="761" t="s">
        <v>591</v>
      </c>
      <c r="V38" s="762"/>
      <c r="W38" s="763"/>
      <c r="X38" s="816"/>
      <c r="Y38" s="895">
        <v>128</v>
      </c>
      <c r="Z38" s="896">
        <v>143</v>
      </c>
      <c r="AA38" s="897">
        <f>ROUNDDOWN(Y38*$S$15*VLOOKUP($B$24,Names!$C$209:$D$213,2,FALSE)/1000,0)</f>
        <v>82</v>
      </c>
      <c r="AB38" s="898" t="e">
        <v>#REF!</v>
      </c>
      <c r="AC38" s="688" t="s">
        <v>285</v>
      </c>
      <c r="AD38" s="689"/>
      <c r="AE38" s="690"/>
      <c r="AF38" s="711"/>
      <c r="AG38" s="688" t="s">
        <v>285</v>
      </c>
      <c r="AH38" s="689"/>
      <c r="AI38" s="690"/>
      <c r="AJ38" s="781"/>
    </row>
    <row r="39" spans="2:36" ht="14.9" customHeight="1">
      <c r="B39" s="671"/>
      <c r="C39" s="672"/>
      <c r="D39" s="672"/>
      <c r="E39" s="673"/>
      <c r="F39" s="686"/>
      <c r="G39" s="686"/>
      <c r="H39" s="370" t="s">
        <v>301</v>
      </c>
      <c r="I39" s="691"/>
      <c r="J39" s="692"/>
      <c r="K39" s="693"/>
      <c r="L39" s="712"/>
      <c r="M39" s="691"/>
      <c r="N39" s="692"/>
      <c r="O39" s="693"/>
      <c r="P39" s="712"/>
      <c r="Q39" s="691"/>
      <c r="R39" s="692"/>
      <c r="S39" s="693"/>
      <c r="T39" s="712"/>
      <c r="U39" s="753"/>
      <c r="V39" s="754"/>
      <c r="W39" s="755"/>
      <c r="X39" s="812"/>
      <c r="Y39" s="901">
        <v>100</v>
      </c>
      <c r="Z39" s="892">
        <v>143</v>
      </c>
      <c r="AA39" s="893">
        <f>ROUNDDOWN(Y39*$S$15*VLOOKUP($B$24,Names!$C$209:$D$213,2,FALSE)/1000,0)</f>
        <v>64</v>
      </c>
      <c r="AB39" s="894" t="e">
        <v>#REF!</v>
      </c>
      <c r="AC39" s="913">
        <v>100</v>
      </c>
      <c r="AD39" s="879">
        <v>104</v>
      </c>
      <c r="AE39" s="914">
        <f>ROUNDDOWN(AC39*$S$15*VLOOKUP($B$24,Names!$C$209:$D$213,2,FALSE)/1000,0)</f>
        <v>64</v>
      </c>
      <c r="AF39" s="915" t="e">
        <v>#REF!</v>
      </c>
      <c r="AG39" s="691" t="s">
        <v>285</v>
      </c>
      <c r="AH39" s="692"/>
      <c r="AI39" s="693"/>
      <c r="AJ39" s="886"/>
    </row>
    <row r="40" spans="2:36" ht="14.9" customHeight="1" thickBot="1">
      <c r="B40" s="674"/>
      <c r="C40" s="675"/>
      <c r="D40" s="675"/>
      <c r="E40" s="676"/>
      <c r="F40" s="710"/>
      <c r="G40" s="710"/>
      <c r="H40" s="372" t="s">
        <v>295</v>
      </c>
      <c r="I40" s="713"/>
      <c r="J40" s="714"/>
      <c r="K40" s="715"/>
      <c r="L40" s="716"/>
      <c r="M40" s="713"/>
      <c r="N40" s="714"/>
      <c r="O40" s="715"/>
      <c r="P40" s="716"/>
      <c r="Q40" s="713"/>
      <c r="R40" s="714"/>
      <c r="S40" s="715"/>
      <c r="T40" s="716"/>
      <c r="U40" s="765"/>
      <c r="V40" s="766"/>
      <c r="W40" s="767"/>
      <c r="X40" s="817"/>
      <c r="Y40" s="921">
        <v>60</v>
      </c>
      <c r="Z40" s="922">
        <v>71</v>
      </c>
      <c r="AA40" s="916">
        <f>ROUNDDOWN(Y40*$S$15*VLOOKUP($B$24,Names!$C$209:$D$213,2,FALSE)/1000,0)</f>
        <v>38</v>
      </c>
      <c r="AB40" s="917" t="e">
        <v>#REF!</v>
      </c>
      <c r="AC40" s="908">
        <v>60</v>
      </c>
      <c r="AD40" s="920">
        <v>50</v>
      </c>
      <c r="AE40" s="918">
        <f>ROUNDDOWN(AC40*$S$15*VLOOKUP($B$24,Names!$C$209:$D$213,2,FALSE)/1000,0)</f>
        <v>38</v>
      </c>
      <c r="AF40" s="919" t="e">
        <v>#REF!</v>
      </c>
      <c r="AG40" s="908">
        <v>60</v>
      </c>
      <c r="AH40" s="909">
        <v>40</v>
      </c>
      <c r="AI40" s="910">
        <f>ROUNDDOWN(AG40*$S$15*VLOOKUP($B$24,Names!$C$209:$D$213,2,FALSE)/1000,0)</f>
        <v>38</v>
      </c>
      <c r="AJ40" s="911" t="e">
        <v>#REF!</v>
      </c>
    </row>
    <row r="41" spans="2:36" ht="12.9" thickTop="1"/>
  </sheetData>
  <sheetProtection algorithmName="SHA-512" hashValue="rfXRSELtJPu8kMKRP54or9da+7FjBNvuk5ShfH5lrYi8lTpMhF6wDQTCtOtrXazFdAQqPLK2sV2QuMnwCzXm8Q==" saltValue="ahTFUjAycqhPQDX6bBaFHQ==" spinCount="100000" sheet="1" objects="1" scenarios="1"/>
  <mergeCells count="231">
    <mergeCell ref="M32:P34"/>
    <mergeCell ref="M35:P37"/>
    <mergeCell ref="M38:P40"/>
    <mergeCell ref="I25:J25"/>
    <mergeCell ref="K25:L25"/>
    <mergeCell ref="M25:P25"/>
    <mergeCell ref="Q25:T25"/>
    <mergeCell ref="I29:L29"/>
    <mergeCell ref="I31:L31"/>
    <mergeCell ref="M27:N27"/>
    <mergeCell ref="O27:P27"/>
    <mergeCell ref="M28:N28"/>
    <mergeCell ref="O28:P28"/>
    <mergeCell ref="M29:N29"/>
    <mergeCell ref="O29:P29"/>
    <mergeCell ref="M30:N30"/>
    <mergeCell ref="O30:P30"/>
    <mergeCell ref="M31:N31"/>
    <mergeCell ref="O31:P31"/>
    <mergeCell ref="S30:T30"/>
    <mergeCell ref="Q27:R27"/>
    <mergeCell ref="Q28:R28"/>
    <mergeCell ref="S27:T27"/>
    <mergeCell ref="S28:T28"/>
    <mergeCell ref="M21:P21"/>
    <mergeCell ref="M22:N23"/>
    <mergeCell ref="O22:P23"/>
    <mergeCell ref="M24:P24"/>
    <mergeCell ref="Q24:T24"/>
    <mergeCell ref="AG25:AJ25"/>
    <mergeCell ref="AC25:AF25"/>
    <mergeCell ref="F25:G25"/>
    <mergeCell ref="F26:G26"/>
    <mergeCell ref="I26:J26"/>
    <mergeCell ref="K26:L26"/>
    <mergeCell ref="Q26:R26"/>
    <mergeCell ref="S26:T26"/>
    <mergeCell ref="U26:X26"/>
    <mergeCell ref="Y26:AB26"/>
    <mergeCell ref="AC26:AF26"/>
    <mergeCell ref="AG26:AJ26"/>
    <mergeCell ref="M26:N26"/>
    <mergeCell ref="O26:P26"/>
    <mergeCell ref="AG21:AJ21"/>
    <mergeCell ref="AG22:AH23"/>
    <mergeCell ref="AI22:AJ23"/>
    <mergeCell ref="AG24:AJ24"/>
    <mergeCell ref="U34:V34"/>
    <mergeCell ref="AG40:AH40"/>
    <mergeCell ref="AI40:AJ40"/>
    <mergeCell ref="AC34:AD34"/>
    <mergeCell ref="AE34:AF34"/>
    <mergeCell ref="AC36:AD36"/>
    <mergeCell ref="AE36:AF36"/>
    <mergeCell ref="AC39:AD39"/>
    <mergeCell ref="AE39:AF39"/>
    <mergeCell ref="AA40:AB40"/>
    <mergeCell ref="AE40:AF40"/>
    <mergeCell ref="AC40:AD40"/>
    <mergeCell ref="AA39:AB39"/>
    <mergeCell ref="Y40:Z40"/>
    <mergeCell ref="Y39:Z39"/>
    <mergeCell ref="Y33:Z33"/>
    <mergeCell ref="AA33:AB33"/>
    <mergeCell ref="Y35:Z35"/>
    <mergeCell ref="AA35:AB35"/>
    <mergeCell ref="Y38:Z38"/>
    <mergeCell ref="AA38:AB38"/>
    <mergeCell ref="AA36:AB36"/>
    <mergeCell ref="Y36:Z36"/>
    <mergeCell ref="AC38:AF38"/>
    <mergeCell ref="AE37:AF37"/>
    <mergeCell ref="Y37:Z37"/>
    <mergeCell ref="AC37:AD37"/>
    <mergeCell ref="AA37:AB37"/>
    <mergeCell ref="Y34:Z34"/>
    <mergeCell ref="AC35:AF35"/>
    <mergeCell ref="AG32:AJ32"/>
    <mergeCell ref="AG33:AJ33"/>
    <mergeCell ref="AG34:AJ34"/>
    <mergeCell ref="AG35:AJ35"/>
    <mergeCell ref="AG38:AJ38"/>
    <mergeCell ref="AG36:AJ36"/>
    <mergeCell ref="AG37:AH37"/>
    <mergeCell ref="AI37:AJ37"/>
    <mergeCell ref="AG39:AJ39"/>
    <mergeCell ref="AG27:AJ27"/>
    <mergeCell ref="AG28:AJ28"/>
    <mergeCell ref="AG29:AJ29"/>
    <mergeCell ref="AG30:AJ30"/>
    <mergeCell ref="AG31:AJ31"/>
    <mergeCell ref="H17:I18"/>
    <mergeCell ref="H19:I19"/>
    <mergeCell ref="F17:G18"/>
    <mergeCell ref="F19:G19"/>
    <mergeCell ref="T17:U18"/>
    <mergeCell ref="Y21:AB21"/>
    <mergeCell ref="Y31:AB31"/>
    <mergeCell ref="Y22:Z23"/>
    <mergeCell ref="Q31:R31"/>
    <mergeCell ref="Q22:R23"/>
    <mergeCell ref="Y29:AB29"/>
    <mergeCell ref="V19:W19"/>
    <mergeCell ref="U30:X30"/>
    <mergeCell ref="AC30:AF30"/>
    <mergeCell ref="T19:U19"/>
    <mergeCell ref="AC31:AF31"/>
    <mergeCell ref="I21:L21"/>
    <mergeCell ref="I22:J23"/>
    <mergeCell ref="K22:L23"/>
    <mergeCell ref="B19:E19"/>
    <mergeCell ref="Q21:T21"/>
    <mergeCell ref="U21:X21"/>
    <mergeCell ref="F21:H21"/>
    <mergeCell ref="F38:G40"/>
    <mergeCell ref="Q35:T37"/>
    <mergeCell ref="Q38:T40"/>
    <mergeCell ref="B21:E23"/>
    <mergeCell ref="R19:S19"/>
    <mergeCell ref="F22:H22"/>
    <mergeCell ref="F23:G23"/>
    <mergeCell ref="S22:T23"/>
    <mergeCell ref="U22:V23"/>
    <mergeCell ref="S29:T29"/>
    <mergeCell ref="S31:T31"/>
    <mergeCell ref="F32:G34"/>
    <mergeCell ref="L19:M19"/>
    <mergeCell ref="N19:O19"/>
    <mergeCell ref="P19:Q19"/>
    <mergeCell ref="J19:K19"/>
    <mergeCell ref="Q29:R29"/>
    <mergeCell ref="W22:X23"/>
    <mergeCell ref="U33:V33"/>
    <mergeCell ref="W34:X34"/>
    <mergeCell ref="I2:R3"/>
    <mergeCell ref="F6:I6"/>
    <mergeCell ref="O10:O11"/>
    <mergeCell ref="P10:P11"/>
    <mergeCell ref="Q10:Q11"/>
    <mergeCell ref="N10:N11"/>
    <mergeCell ref="J10:J11"/>
    <mergeCell ref="K10:K11"/>
    <mergeCell ref="L10:L11"/>
    <mergeCell ref="F7:I7"/>
    <mergeCell ref="F9:I9"/>
    <mergeCell ref="F11:I11"/>
    <mergeCell ref="F8:I8"/>
    <mergeCell ref="F10:I10"/>
    <mergeCell ref="V17:W18"/>
    <mergeCell ref="B5:E5"/>
    <mergeCell ref="B7:E7"/>
    <mergeCell ref="B9:E9"/>
    <mergeCell ref="B10:E10"/>
    <mergeCell ref="B11:E11"/>
    <mergeCell ref="B12:E12"/>
    <mergeCell ref="B13:E13"/>
    <mergeCell ref="B8:E8"/>
    <mergeCell ref="F12:I12"/>
    <mergeCell ref="F13:I13"/>
    <mergeCell ref="Y28:AB28"/>
    <mergeCell ref="B15:E15"/>
    <mergeCell ref="S15:T15"/>
    <mergeCell ref="O15:R15"/>
    <mergeCell ref="I15:L15"/>
    <mergeCell ref="G15:H15"/>
    <mergeCell ref="M15:N15"/>
    <mergeCell ref="V10:V11"/>
    <mergeCell ref="W10:W11"/>
    <mergeCell ref="N17:O18"/>
    <mergeCell ref="M10:M11"/>
    <mergeCell ref="R10:R11"/>
    <mergeCell ref="S10:S11"/>
    <mergeCell ref="T10:T11"/>
    <mergeCell ref="U15:X15"/>
    <mergeCell ref="X10:X11"/>
    <mergeCell ref="P17:Q18"/>
    <mergeCell ref="B14:E14"/>
    <mergeCell ref="F14:I14"/>
    <mergeCell ref="U10:U11"/>
    <mergeCell ref="B17:E18"/>
    <mergeCell ref="J17:K18"/>
    <mergeCell ref="R17:S18"/>
    <mergeCell ref="L17:M18"/>
    <mergeCell ref="K30:L30"/>
    <mergeCell ref="Y32:AB32"/>
    <mergeCell ref="AC21:AF21"/>
    <mergeCell ref="AA34:AB34"/>
    <mergeCell ref="W33:X33"/>
    <mergeCell ref="AC29:AF29"/>
    <mergeCell ref="AA22:AB23"/>
    <mergeCell ref="AC22:AD23"/>
    <mergeCell ref="AE22:AF23"/>
    <mergeCell ref="Y27:AB27"/>
    <mergeCell ref="AC24:AF24"/>
    <mergeCell ref="AC27:AF27"/>
    <mergeCell ref="Y24:AB24"/>
    <mergeCell ref="W32:X32"/>
    <mergeCell ref="U25:X25"/>
    <mergeCell ref="Y25:AB25"/>
    <mergeCell ref="AC32:AF32"/>
    <mergeCell ref="AC33:AF33"/>
    <mergeCell ref="U29:V29"/>
    <mergeCell ref="W29:X29"/>
    <mergeCell ref="U31:V31"/>
    <mergeCell ref="W31:X31"/>
    <mergeCell ref="AC28:AF28"/>
    <mergeCell ref="Y30:AB30"/>
    <mergeCell ref="Q30:R30"/>
    <mergeCell ref="B24:E40"/>
    <mergeCell ref="F24:G24"/>
    <mergeCell ref="F27:G27"/>
    <mergeCell ref="U24:X24"/>
    <mergeCell ref="U27:X27"/>
    <mergeCell ref="U28:X28"/>
    <mergeCell ref="F35:G37"/>
    <mergeCell ref="I35:L37"/>
    <mergeCell ref="I38:L40"/>
    <mergeCell ref="I32:L34"/>
    <mergeCell ref="F28:G29"/>
    <mergeCell ref="F30:G31"/>
    <mergeCell ref="I28:J28"/>
    <mergeCell ref="K28:L28"/>
    <mergeCell ref="I24:J24"/>
    <mergeCell ref="K24:L24"/>
    <mergeCell ref="I27:J27"/>
    <mergeCell ref="U32:V32"/>
    <mergeCell ref="U35:X37"/>
    <mergeCell ref="U38:X40"/>
    <mergeCell ref="Q32:T34"/>
    <mergeCell ref="K27:L27"/>
    <mergeCell ref="I30:J30"/>
  </mergeCells>
  <phoneticPr fontId="2" type="noConversion"/>
  <conditionalFormatting sqref="F10:I10">
    <cfRule type="expression" dxfId="70" priority="69" stopIfTrue="1">
      <formula>ISERROR(MATCH(F10, INDIRECT(indirectod), FALSE))</formula>
    </cfRule>
  </conditionalFormatting>
  <conditionalFormatting sqref="F11:I11">
    <cfRule type="expression" dxfId="69" priority="41" stopIfTrue="1">
      <formula>ISERROR(MATCH(F11,INDIRECT(indirectio),FALSE))</formula>
    </cfRule>
    <cfRule type="expression" dxfId="68" priority="70" stopIfTrue="1">
      <formula>ISERROR(MATCH(F11,INDIRECT(indirectio),FALSE))</formula>
    </cfRule>
  </conditionalFormatting>
  <conditionalFormatting sqref="F14:I14">
    <cfRule type="expression" dxfId="67" priority="56" stopIfTrue="1">
      <formula>$F13="3592"</formula>
    </cfRule>
    <cfRule type="expression" dxfId="66" priority="55" stopIfTrue="1">
      <formula>OR(ISERROR(MATCH($F$10,INDIRECT(indirectod),FALSE)),ISERROR(MATCH($F$11,INDIRECT(indirectio),FALSE)))</formula>
    </cfRule>
  </conditionalFormatting>
  <conditionalFormatting sqref="F19:P19">
    <cfRule type="expression" dxfId="65" priority="25" stopIfTrue="1">
      <formula>ISERROR($F$15)</formula>
    </cfRule>
  </conditionalFormatting>
  <conditionalFormatting sqref="G15:H15">
    <cfRule type="expression" dxfId="64" priority="73" stopIfTrue="1">
      <formula>ISERROR($F$15)</formula>
    </cfRule>
  </conditionalFormatting>
  <conditionalFormatting sqref="I20:R20">
    <cfRule type="expression" dxfId="63" priority="68" stopIfTrue="1">
      <formula>ISERROR($F$15)</formula>
    </cfRule>
  </conditionalFormatting>
  <conditionalFormatting sqref="J6:X6">
    <cfRule type="expression" dxfId="62" priority="52" stopIfTrue="1">
      <formula>J$6&gt;$F$5</formula>
    </cfRule>
  </conditionalFormatting>
  <conditionalFormatting sqref="J7:X7">
    <cfRule type="expression" dxfId="61" priority="61" stopIfTrue="1">
      <formula>ISERROR(MATCH(J7,INDIRECT(INDEX(indirectDSframeArray,(J$6-1))),FALSE))</formula>
    </cfRule>
  </conditionalFormatting>
  <conditionalFormatting sqref="J7:X11 J13:X14">
    <cfRule type="expression" dxfId="60" priority="53" stopIfTrue="1">
      <formula>J$6&gt;$F$5</formula>
    </cfRule>
  </conditionalFormatting>
  <conditionalFormatting sqref="J10:X11">
    <cfRule type="expression" dxfId="59" priority="58" stopIfTrue="1">
      <formula>ISERROR(MATCH(J10,INDIRECT(INDEX(indirectioDframeArray,(J$6-1))),FALSE))</formula>
    </cfRule>
    <cfRule type="expression" dxfId="58" priority="59" stopIfTrue="1">
      <formula>(AND(J$6&lt;=$F$5, J$12=1))</formula>
    </cfRule>
  </conditionalFormatting>
  <conditionalFormatting sqref="J12:X12">
    <cfRule type="expression" dxfId="57" priority="54" stopIfTrue="1">
      <formula>J$6&gt;$F$5</formula>
    </cfRule>
  </conditionalFormatting>
  <conditionalFormatting sqref="J14:X14">
    <cfRule type="expression" dxfId="56" priority="66" stopIfTrue="1">
      <formula>ISERROR(J$5)</formula>
    </cfRule>
    <cfRule type="expression" dxfId="55" priority="67" stopIfTrue="1">
      <formula>J$13="3592"</formula>
    </cfRule>
  </conditionalFormatting>
  <conditionalFormatting sqref="K24:L28">
    <cfRule type="expression" dxfId="54" priority="1" stopIfTrue="1">
      <formula>ISERROR($F$16)</formula>
    </cfRule>
  </conditionalFormatting>
  <conditionalFormatting sqref="K30:L30">
    <cfRule type="expression" dxfId="53" priority="36" stopIfTrue="1">
      <formula>ISERROR($F$16)</formula>
    </cfRule>
  </conditionalFormatting>
  <conditionalFormatting sqref="M15">
    <cfRule type="expression" dxfId="52" priority="71" stopIfTrue="1">
      <formula>ISERROR($F$15)</formula>
    </cfRule>
  </conditionalFormatting>
  <conditionalFormatting sqref="O26:P31">
    <cfRule type="expression" dxfId="51" priority="2" stopIfTrue="1">
      <formula>ISERROR($F$16)</formula>
    </cfRule>
  </conditionalFormatting>
  <conditionalFormatting sqref="R19:W19">
    <cfRule type="expression" dxfId="50" priority="51" stopIfTrue="1">
      <formula>ISERROR($F$15)</formula>
    </cfRule>
  </conditionalFormatting>
  <conditionalFormatting sqref="S15:T15">
    <cfRule type="expression" dxfId="49" priority="72" stopIfTrue="1">
      <formula>ISERROR($F$15)</formula>
    </cfRule>
  </conditionalFormatting>
  <conditionalFormatting sqref="S26:T31">
    <cfRule type="expression" dxfId="48" priority="9" stopIfTrue="1">
      <formula>ISERROR($F$16)</formula>
    </cfRule>
  </conditionalFormatting>
  <conditionalFormatting sqref="W8:W9 J9:V9 X9">
    <cfRule type="expression" dxfId="47" priority="63" stopIfTrue="1">
      <formula>ISERROR(MATCH(J$9,INDIRECT(INDEX(indirectNmDrArray,(J$6-1))),FALSE))</formula>
    </cfRule>
    <cfRule type="expression" dxfId="46" priority="64" stopIfTrue="1">
      <formula>AND(OR(J$7="S24",J$7="S54"),J$9=0)</formula>
    </cfRule>
  </conditionalFormatting>
  <conditionalFormatting sqref="W29:X29">
    <cfRule type="expression" dxfId="45" priority="18" stopIfTrue="1">
      <formula>ISERROR($F$16)</formula>
    </cfRule>
  </conditionalFormatting>
  <conditionalFormatting sqref="W31:X34">
    <cfRule type="expression" dxfId="44" priority="17" stopIfTrue="1">
      <formula>ISERROR($F$16)</formula>
    </cfRule>
  </conditionalFormatting>
  <conditionalFormatting sqref="AA33:AB40">
    <cfRule type="expression" dxfId="43" priority="19" stopIfTrue="1">
      <formula>ISERROR($F$16)</formula>
    </cfRule>
  </conditionalFormatting>
  <conditionalFormatting sqref="AE34:AF34">
    <cfRule type="expression" dxfId="42" priority="22" stopIfTrue="1">
      <formula>ISERROR($F$16)</formula>
    </cfRule>
  </conditionalFormatting>
  <conditionalFormatting sqref="AE36:AF37">
    <cfRule type="expression" dxfId="41" priority="21" stopIfTrue="1">
      <formula>ISERROR($F$16)</formula>
    </cfRule>
  </conditionalFormatting>
  <conditionalFormatting sqref="AE39:AF40">
    <cfRule type="expression" dxfId="40" priority="20" stopIfTrue="1">
      <formula>ISERROR($F$16)</formula>
    </cfRule>
  </conditionalFormatting>
  <conditionalFormatting sqref="AI37:AJ37">
    <cfRule type="expression" dxfId="39" priority="24" stopIfTrue="1">
      <formula>ISERROR($F$16)</formula>
    </cfRule>
  </conditionalFormatting>
  <conditionalFormatting sqref="AI40:AJ40">
    <cfRule type="expression" dxfId="38" priority="23" stopIfTrue="1">
      <formula>ISERROR($F$16)</formula>
    </cfRule>
  </conditionalFormatting>
  <dataValidations count="10">
    <dataValidation type="list" allowBlank="1" showInputMessage="1" showErrorMessage="1" sqref="J10:X11" xr:uid="{00000000-0002-0000-0200-000000000000}">
      <formula1>INDIRECT(INDEX(indirectioDframeArray,(J$6-1)))</formula1>
    </dataValidation>
    <dataValidation type="list" allowBlank="1" showInputMessage="1" showErrorMessage="1" sqref="J7:X7" xr:uid="{00000000-0002-0000-0200-000001000000}">
      <formula1>INDIRECT(INDEX(indirectDSframeArray,(J$6-1)))</formula1>
    </dataValidation>
    <dataValidation type="list" allowBlank="1" showInputMessage="1" showErrorMessage="1" sqref="J9:X9" xr:uid="{00000000-0002-0000-0200-000002000000}">
      <formula1>INDIRECT(INDEX(indirectNmDrArray,(J$6-1)))</formula1>
    </dataValidation>
    <dataValidation type="list" allowBlank="1" showInputMessage="1" showErrorMessage="1" sqref="B19 F20 B24:B26" xr:uid="{00000000-0002-0000-0200-000003000000}">
      <formula1>TotalCapacityComp</formula1>
    </dataValidation>
    <dataValidation type="list" allowBlank="1" showInputMessage="1" showErrorMessage="1" sqref="F7" xr:uid="{00000000-0002-0000-0200-000004000000}">
      <formula1>LTOLframes</formula1>
    </dataValidation>
    <dataValidation type="list" allowBlank="1" showInputMessage="1" showErrorMessage="1" sqref="F10:I10" xr:uid="{00000000-0002-0000-0200-000005000000}">
      <formula1>INDIRECT(indirectod)</formula1>
    </dataValidation>
    <dataValidation type="list" allowBlank="1" showInputMessage="1" showErrorMessage="1" sqref="F9" xr:uid="{00000000-0002-0000-0200-000006000000}">
      <formula1>NumberDrives</formula1>
    </dataValidation>
    <dataValidation type="list" allowBlank="1" showInputMessage="1" showErrorMessage="1" sqref="F11:I11" xr:uid="{00000000-0002-0000-0200-000007000000}">
      <formula1>INDIRECT(indirectio)</formula1>
    </dataValidation>
    <dataValidation type="list" allowBlank="1" showInputMessage="1" showErrorMessage="1" sqref="F5" xr:uid="{00000000-0002-0000-0200-000008000000}">
      <formula1>NumberFrames</formula1>
    </dataValidation>
    <dataValidation type="list" allowBlank="1" showInputMessage="1" showErrorMessage="1" sqref="F8:I8" xr:uid="{00000000-0002-0000-0200-000009000000}">
      <formula1>HDlibraryLMcode</formula1>
    </dataValidation>
  </dataValidations>
  <pageMargins left="0.75" right="0.75" top="1" bottom="1" header="0.5" footer="0.5"/>
  <pageSetup orientation="portrait" r:id="rId1"/>
  <headerFooter alignWithMargins="0"/>
  <ignoredErrors>
    <ignoredError sqref="N5 P5" evalError="1"/>
    <ignoredError sqref="J8" unlockedFormula="1"/>
  </ignoredErrors>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2:V200"/>
  <sheetViews>
    <sheetView workbookViewId="0">
      <pane ySplit="3" topLeftCell="A33" activePane="bottomLeft" state="frozen"/>
      <selection pane="bottomLeft" activeCell="A38" sqref="A38"/>
    </sheetView>
  </sheetViews>
  <sheetFormatPr baseColWidth="10" defaultColWidth="8.84375" defaultRowHeight="12.45"/>
  <cols>
    <col min="1" max="1" width="4.69140625" customWidth="1"/>
    <col min="2" max="2" width="2.69140625" customWidth="1"/>
    <col min="4" max="4" width="11.53515625" customWidth="1"/>
    <col min="5" max="5" width="12.4609375" customWidth="1"/>
  </cols>
  <sheetData>
    <row r="2" spans="2:17" ht="20.149999999999999">
      <c r="B2" s="207"/>
      <c r="C2" s="207"/>
      <c r="D2" s="519" t="s">
        <v>636</v>
      </c>
      <c r="E2" s="519"/>
      <c r="F2" s="519"/>
      <c r="G2" s="519"/>
      <c r="H2" s="519"/>
      <c r="I2" s="519"/>
      <c r="J2" s="519"/>
      <c r="K2" s="519"/>
      <c r="L2" s="207"/>
      <c r="M2" s="207"/>
      <c r="N2" s="207"/>
      <c r="O2" s="325" t="s">
        <v>461</v>
      </c>
    </row>
    <row r="3" spans="2:17" ht="12.9" thickBot="1">
      <c r="D3" s="74"/>
      <c r="E3" s="74"/>
      <c r="F3" s="74"/>
      <c r="G3" s="74"/>
      <c r="H3" s="74"/>
      <c r="I3" s="74"/>
      <c r="J3" s="74"/>
      <c r="K3" s="74"/>
    </row>
    <row r="4" spans="2:17" ht="15" customHeight="1" thickBot="1">
      <c r="B4" s="1078" t="s">
        <v>190</v>
      </c>
      <c r="C4" s="1079"/>
      <c r="D4" s="1079"/>
      <c r="E4" s="1077"/>
      <c r="F4" s="994" t="s">
        <v>150</v>
      </c>
      <c r="G4" s="997" t="s">
        <v>584</v>
      </c>
      <c r="H4" s="998"/>
      <c r="I4" s="999"/>
      <c r="J4" s="1058" t="s">
        <v>590</v>
      </c>
      <c r="K4" s="1059"/>
      <c r="L4" s="1059"/>
      <c r="M4" s="1059"/>
      <c r="N4" s="1059"/>
      <c r="O4" s="1059"/>
      <c r="P4" s="1059"/>
      <c r="Q4" s="1059"/>
    </row>
    <row r="5" spans="2:17" ht="13.3" thickTop="1" thickBot="1">
      <c r="B5" s="85"/>
      <c r="C5" s="1086" t="s">
        <v>249</v>
      </c>
      <c r="D5" s="1087"/>
      <c r="E5" s="202" t="s">
        <v>261</v>
      </c>
      <c r="F5" s="995"/>
      <c r="G5" s="1000"/>
      <c r="H5" s="1001"/>
      <c r="I5" s="1002"/>
      <c r="J5" s="1058"/>
      <c r="K5" s="1059"/>
      <c r="L5" s="1059"/>
      <c r="M5" s="1059"/>
      <c r="N5" s="1059"/>
      <c r="O5" s="1059"/>
      <c r="P5" s="1059"/>
      <c r="Q5" s="1059"/>
    </row>
    <row r="6" spans="2:17" ht="13.3" thickTop="1" thickBot="1">
      <c r="B6" s="199"/>
      <c r="C6" s="198" t="s">
        <v>248</v>
      </c>
      <c r="D6" s="200"/>
      <c r="E6" s="59">
        <v>1</v>
      </c>
      <c r="F6" s="996"/>
      <c r="G6" s="401" t="s">
        <v>585</v>
      </c>
      <c r="H6" s="402" t="s">
        <v>586</v>
      </c>
      <c r="I6" s="403" t="s">
        <v>587</v>
      </c>
      <c r="J6" s="404" t="s">
        <v>567</v>
      </c>
      <c r="K6" s="405" t="s">
        <v>337</v>
      </c>
      <c r="L6" s="406" t="s">
        <v>322</v>
      </c>
      <c r="M6" s="407" t="s">
        <v>283</v>
      </c>
      <c r="N6" s="408" t="s">
        <v>152</v>
      </c>
      <c r="O6" s="409" t="s">
        <v>153</v>
      </c>
      <c r="P6" s="410" t="s">
        <v>154</v>
      </c>
      <c r="Q6" s="411" t="s">
        <v>155</v>
      </c>
    </row>
    <row r="7" spans="2:17" ht="12.9" thickBot="1">
      <c r="B7" s="1031" t="s">
        <v>192</v>
      </c>
      <c r="C7" s="1032"/>
      <c r="D7" s="1032"/>
      <c r="E7" s="1033"/>
      <c r="F7" s="77">
        <f>VLOOKUP(E5,Names!J21:K23, 2, FALSE)</f>
        <v>2</v>
      </c>
      <c r="G7" s="78">
        <v>24</v>
      </c>
      <c r="H7" s="79">
        <f>E6</f>
        <v>1</v>
      </c>
      <c r="I7" s="80">
        <f>G7-H7</f>
        <v>23</v>
      </c>
      <c r="J7" s="81">
        <f>$I7*12000/1000</f>
        <v>276</v>
      </c>
      <c r="K7" s="81">
        <f>$I7*6000/1000</f>
        <v>138</v>
      </c>
      <c r="L7" s="81">
        <f>$I7*2500/1000</f>
        <v>57.5</v>
      </c>
      <c r="M7" s="81">
        <f>$I7*1500/1000</f>
        <v>34.5</v>
      </c>
      <c r="N7" s="81">
        <f>$I7*800/1000</f>
        <v>18.399999999999999</v>
      </c>
      <c r="O7" s="82">
        <f>$I7*400/1000</f>
        <v>9.1999999999999993</v>
      </c>
      <c r="P7" s="83">
        <f>$I7*200/1000</f>
        <v>4.5999999999999996</v>
      </c>
      <c r="Q7" s="84">
        <f>$I7*100/1000</f>
        <v>2.2999999999999998</v>
      </c>
    </row>
    <row r="8" spans="2:17" ht="12.9" thickBot="1">
      <c r="B8" s="58"/>
      <c r="C8" s="58"/>
      <c r="D8" s="58"/>
      <c r="E8" s="6" t="s">
        <v>260</v>
      </c>
      <c r="F8" s="75"/>
      <c r="G8" s="75"/>
      <c r="H8" s="75"/>
      <c r="I8" s="76"/>
      <c r="J8" s="71"/>
      <c r="K8" s="71"/>
      <c r="L8" s="72"/>
      <c r="M8" s="72"/>
      <c r="N8" s="10"/>
      <c r="O8" s="10"/>
      <c r="P8" s="10"/>
      <c r="Q8" s="10"/>
    </row>
    <row r="9" spans="2:17" ht="14.6" thickBot="1">
      <c r="B9" s="1075" t="s">
        <v>191</v>
      </c>
      <c r="C9" s="1076"/>
      <c r="D9" s="1076"/>
      <c r="E9" s="1077"/>
      <c r="F9" s="1069" t="s">
        <v>150</v>
      </c>
      <c r="G9" s="997" t="s">
        <v>584</v>
      </c>
      <c r="H9" s="998"/>
      <c r="I9" s="999"/>
      <c r="J9" s="1058" t="s">
        <v>590</v>
      </c>
      <c r="K9" s="1059"/>
      <c r="L9" s="1059"/>
      <c r="M9" s="1059"/>
      <c r="N9" s="1059"/>
      <c r="O9" s="1059"/>
      <c r="P9" s="1059"/>
      <c r="Q9" s="1059"/>
    </row>
    <row r="10" spans="2:17" ht="14.6" customHeight="1" thickTop="1" thickBot="1">
      <c r="B10" s="86"/>
      <c r="C10" s="1043" t="s">
        <v>150</v>
      </c>
      <c r="D10" s="1044"/>
      <c r="E10" s="201" t="s">
        <v>319</v>
      </c>
      <c r="F10" s="1070"/>
      <c r="G10" s="1000"/>
      <c r="H10" s="1001"/>
      <c r="I10" s="1002"/>
      <c r="J10" s="1058"/>
      <c r="K10" s="1059"/>
      <c r="L10" s="1059"/>
      <c r="M10" s="1059"/>
      <c r="N10" s="1059"/>
      <c r="O10" s="1059"/>
      <c r="P10" s="1059"/>
      <c r="Q10" s="1059"/>
    </row>
    <row r="11" spans="2:17" ht="13.3" thickTop="1" thickBot="1">
      <c r="B11" s="87"/>
      <c r="C11" s="1036" t="s">
        <v>151</v>
      </c>
      <c r="D11" s="1036"/>
      <c r="E11" s="59">
        <v>3</v>
      </c>
      <c r="F11" s="1071"/>
      <c r="G11" s="412" t="s">
        <v>585</v>
      </c>
      <c r="H11" s="413" t="s">
        <v>586</v>
      </c>
      <c r="I11" s="414" t="s">
        <v>587</v>
      </c>
      <c r="J11" s="404" t="s">
        <v>567</v>
      </c>
      <c r="K11" s="405" t="s">
        <v>337</v>
      </c>
      <c r="L11" s="406" t="s">
        <v>322</v>
      </c>
      <c r="M11" s="407" t="s">
        <v>283</v>
      </c>
      <c r="N11" s="408" t="s">
        <v>152</v>
      </c>
      <c r="O11" s="409" t="s">
        <v>153</v>
      </c>
      <c r="P11" s="410" t="s">
        <v>154</v>
      </c>
      <c r="Q11" s="411" t="s">
        <v>155</v>
      </c>
    </row>
    <row r="12" spans="2:17" ht="13.3" thickTop="1" thickBot="1">
      <c r="B12" s="1031" t="s">
        <v>192</v>
      </c>
      <c r="C12" s="1032"/>
      <c r="D12" s="1032"/>
      <c r="E12" s="1033"/>
      <c r="F12" s="88">
        <f>VLOOKUP(E10,Names!J25:K32,2, FALSE)</f>
        <v>4</v>
      </c>
      <c r="G12" s="89">
        <v>48</v>
      </c>
      <c r="H12" s="90">
        <f>E11</f>
        <v>3</v>
      </c>
      <c r="I12" s="91">
        <f>G12-H12</f>
        <v>45</v>
      </c>
      <c r="J12" s="81">
        <f>$I12*12000/1000</f>
        <v>540</v>
      </c>
      <c r="K12" s="81">
        <f>$I12*6000/1000</f>
        <v>270</v>
      </c>
      <c r="L12" s="81">
        <f>$I12*2500/1000</f>
        <v>112.5</v>
      </c>
      <c r="M12" s="81">
        <f>$I12*1500/1000</f>
        <v>67.5</v>
      </c>
      <c r="N12" s="81">
        <f>$I12*800/1000</f>
        <v>36</v>
      </c>
      <c r="O12" s="82">
        <f>$I12*400/1000</f>
        <v>18</v>
      </c>
      <c r="P12" s="83">
        <f>$I12*200/1000</f>
        <v>9</v>
      </c>
      <c r="Q12" s="84">
        <f>$I12*100/1000</f>
        <v>4.5</v>
      </c>
    </row>
    <row r="13" spans="2:17" ht="12.9" thickBot="1">
      <c r="B13" s="6"/>
      <c r="C13" s="6"/>
      <c r="D13" s="6"/>
      <c r="E13" s="6"/>
      <c r="F13" s="73"/>
      <c r="G13" s="73"/>
      <c r="H13" s="73"/>
      <c r="I13" s="70"/>
      <c r="J13" s="71"/>
      <c r="K13" s="71"/>
      <c r="L13" s="72"/>
      <c r="M13" s="72"/>
      <c r="N13" s="10"/>
      <c r="O13" s="10"/>
      <c r="P13" s="10"/>
      <c r="Q13" s="10"/>
    </row>
    <row r="14" spans="2:17" ht="12.9" thickBot="1">
      <c r="B14" s="1080" t="s">
        <v>230</v>
      </c>
      <c r="C14" s="1081"/>
      <c r="D14" s="1081"/>
      <c r="E14" s="1082"/>
      <c r="F14" s="963" t="s">
        <v>150</v>
      </c>
      <c r="G14" s="977" t="s">
        <v>584</v>
      </c>
      <c r="H14" s="978"/>
      <c r="I14" s="978"/>
      <c r="J14" s="1060" t="s">
        <v>590</v>
      </c>
      <c r="K14" s="1061"/>
      <c r="L14" s="1061"/>
      <c r="M14" s="1061"/>
      <c r="N14" s="1061"/>
      <c r="O14" s="1061"/>
      <c r="P14" s="1061"/>
      <c r="Q14" s="1061"/>
    </row>
    <row r="15" spans="2:17" ht="12.9" thickBot="1">
      <c r="B15" s="1083"/>
      <c r="C15" s="1084"/>
      <c r="D15" s="1084"/>
      <c r="E15" s="1085"/>
      <c r="F15" s="964"/>
      <c r="G15" s="401" t="s">
        <v>585</v>
      </c>
      <c r="H15" s="402" t="s">
        <v>586</v>
      </c>
      <c r="I15" s="403" t="s">
        <v>587</v>
      </c>
      <c r="J15" s="404" t="s">
        <v>567</v>
      </c>
      <c r="K15" s="405" t="s">
        <v>337</v>
      </c>
      <c r="L15" s="406" t="s">
        <v>322</v>
      </c>
      <c r="M15" s="407" t="s">
        <v>283</v>
      </c>
      <c r="N15" s="408" t="s">
        <v>152</v>
      </c>
      <c r="O15" s="409" t="s">
        <v>153</v>
      </c>
      <c r="P15" s="415" t="s">
        <v>154</v>
      </c>
      <c r="Q15" s="416" t="s">
        <v>155</v>
      </c>
    </row>
    <row r="16" spans="2:17" ht="13.3" thickTop="1" thickBot="1">
      <c r="B16" s="1057" t="s">
        <v>189</v>
      </c>
      <c r="C16" s="1050" t="s">
        <v>52</v>
      </c>
      <c r="D16" s="1051"/>
      <c r="E16" s="59">
        <v>0</v>
      </c>
      <c r="F16" s="1054">
        <f>IF($E$20&lt;4,0,$E16)</f>
        <v>0</v>
      </c>
      <c r="G16" s="934">
        <f>IF($E$20&lt;4,0,IF($E$21&lt;4, 41, 92))</f>
        <v>41</v>
      </c>
      <c r="H16" s="934">
        <f>IF($E$20&lt;4,0,$E17)</f>
        <v>0</v>
      </c>
      <c r="I16" s="1073">
        <f>G16-H16</f>
        <v>41</v>
      </c>
      <c r="J16" s="1026"/>
      <c r="K16" s="1021"/>
      <c r="L16" s="1021"/>
      <c r="M16" s="1021"/>
      <c r="N16" s="1021"/>
      <c r="O16" s="1021"/>
      <c r="P16" s="991"/>
      <c r="Q16" s="417"/>
    </row>
    <row r="17" spans="2:17" ht="13.3" thickTop="1" thickBot="1">
      <c r="B17" s="1049"/>
      <c r="C17" s="1047" t="s">
        <v>151</v>
      </c>
      <c r="D17" s="1036"/>
      <c r="E17" s="59">
        <v>0</v>
      </c>
      <c r="F17" s="1055"/>
      <c r="G17" s="1072"/>
      <c r="H17" s="1072"/>
      <c r="I17" s="1074"/>
      <c r="J17" s="1027"/>
      <c r="K17" s="1022"/>
      <c r="L17" s="1022"/>
      <c r="M17" s="1022"/>
      <c r="N17" s="1022"/>
      <c r="O17" s="1022"/>
      <c r="P17" s="992"/>
      <c r="Q17" s="418"/>
    </row>
    <row r="18" spans="2:17" ht="13.3" thickTop="1" thickBot="1">
      <c r="B18" s="1048" t="s">
        <v>189</v>
      </c>
      <c r="C18" s="1046" t="s">
        <v>52</v>
      </c>
      <c r="D18" s="1044"/>
      <c r="E18" s="59">
        <v>0</v>
      </c>
      <c r="F18" s="1029">
        <f>IF($E$20&lt;3,0,$E18)</f>
        <v>0</v>
      </c>
      <c r="G18" s="1011">
        <f>IF($E$20&lt;3,0,IF($E$21&lt;3,41,IF($E$21&lt;E20,90,92)))</f>
        <v>90</v>
      </c>
      <c r="H18" s="1011">
        <f>IF($E$20&lt;3,0,$E19)</f>
        <v>0</v>
      </c>
      <c r="I18" s="1013">
        <f>G18-H18</f>
        <v>90</v>
      </c>
      <c r="J18" s="1027"/>
      <c r="K18" s="1022"/>
      <c r="L18" s="1022"/>
      <c r="M18" s="1022"/>
      <c r="N18" s="1022"/>
      <c r="O18" s="1022"/>
      <c r="P18" s="992"/>
      <c r="Q18" s="418"/>
    </row>
    <row r="19" spans="2:17" ht="13.3" thickTop="1" thickBot="1">
      <c r="B19" s="1049"/>
      <c r="C19" s="1047" t="s">
        <v>151</v>
      </c>
      <c r="D19" s="1036"/>
      <c r="E19" s="61">
        <v>0</v>
      </c>
      <c r="F19" s="1056"/>
      <c r="G19" s="1012"/>
      <c r="H19" s="1012"/>
      <c r="I19" s="1014"/>
      <c r="J19" s="1027"/>
      <c r="K19" s="1022"/>
      <c r="L19" s="1022"/>
      <c r="M19" s="1022"/>
      <c r="N19" s="1022"/>
      <c r="O19" s="1022"/>
      <c r="P19" s="992"/>
      <c r="Q19" s="418"/>
    </row>
    <row r="20" spans="2:17" ht="13.3" thickTop="1" thickBot="1">
      <c r="B20" s="1063" t="s">
        <v>188</v>
      </c>
      <c r="C20" s="1043" t="s">
        <v>156</v>
      </c>
      <c r="D20" s="1044"/>
      <c r="E20" s="59">
        <v>4</v>
      </c>
      <c r="F20" s="1029">
        <f>E22</f>
        <v>2</v>
      </c>
      <c r="G20" s="1011">
        <v>41</v>
      </c>
      <c r="H20" s="1011">
        <f>E23</f>
        <v>6</v>
      </c>
      <c r="I20" s="1024">
        <f>G20-H20</f>
        <v>35</v>
      </c>
      <c r="J20" s="1027"/>
      <c r="K20" s="1022"/>
      <c r="L20" s="1022"/>
      <c r="M20" s="1022"/>
      <c r="N20" s="1022"/>
      <c r="O20" s="1022"/>
      <c r="P20" s="992"/>
      <c r="Q20" s="418"/>
    </row>
    <row r="21" spans="2:17" ht="13.3" thickTop="1" thickBot="1">
      <c r="B21" s="1064"/>
      <c r="C21" s="1045" t="s">
        <v>25</v>
      </c>
      <c r="D21" s="1045"/>
      <c r="E21" s="59">
        <v>3</v>
      </c>
      <c r="F21" s="1067"/>
      <c r="G21" s="972"/>
      <c r="H21" s="972"/>
      <c r="I21" s="1024"/>
      <c r="J21" s="1027"/>
      <c r="K21" s="1022"/>
      <c r="L21" s="1022"/>
      <c r="M21" s="1022"/>
      <c r="N21" s="1022"/>
      <c r="O21" s="1022"/>
      <c r="P21" s="992"/>
      <c r="Q21" s="418"/>
    </row>
    <row r="22" spans="2:17" ht="13.3" thickTop="1" thickBot="1">
      <c r="B22" s="1064"/>
      <c r="C22" s="1066" t="s">
        <v>150</v>
      </c>
      <c r="D22" s="1045"/>
      <c r="E22" s="59">
        <v>2</v>
      </c>
      <c r="F22" s="1067"/>
      <c r="G22" s="972"/>
      <c r="H22" s="972"/>
      <c r="I22" s="1024"/>
      <c r="J22" s="1027"/>
      <c r="K22" s="1022"/>
      <c r="L22" s="1022"/>
      <c r="M22" s="1022"/>
      <c r="N22" s="1022"/>
      <c r="O22" s="1022"/>
      <c r="P22" s="992"/>
      <c r="Q22" s="418"/>
    </row>
    <row r="23" spans="2:17" ht="13.3" thickTop="1" thickBot="1">
      <c r="B23" s="1065"/>
      <c r="C23" s="1037" t="s">
        <v>151</v>
      </c>
      <c r="D23" s="1038"/>
      <c r="E23" s="59">
        <v>6</v>
      </c>
      <c r="F23" s="1068"/>
      <c r="G23" s="1052"/>
      <c r="H23" s="1052"/>
      <c r="I23" s="1025"/>
      <c r="J23" s="1027"/>
      <c r="K23" s="1022"/>
      <c r="L23" s="1022"/>
      <c r="M23" s="1022"/>
      <c r="N23" s="1022"/>
      <c r="O23" s="1022"/>
      <c r="P23" s="992"/>
      <c r="Q23" s="418"/>
    </row>
    <row r="24" spans="2:17" ht="13.3" thickTop="1" thickBot="1">
      <c r="B24" s="1057" t="s">
        <v>189</v>
      </c>
      <c r="C24" s="1046" t="s">
        <v>52</v>
      </c>
      <c r="D24" s="1044"/>
      <c r="E24" s="59">
        <v>2</v>
      </c>
      <c r="F24" s="1029">
        <f>IF($E$20&lt;1,0,$E24)</f>
        <v>2</v>
      </c>
      <c r="G24" s="1011">
        <f>IF($E$20&lt;1,0,IF($E$21&lt;1, 41, 92))</f>
        <v>92</v>
      </c>
      <c r="H24" s="1011">
        <f>IF($E$20&lt;1,0,$E25)</f>
        <v>0</v>
      </c>
      <c r="I24" s="1013">
        <f>G24-H24</f>
        <v>92</v>
      </c>
      <c r="J24" s="1027"/>
      <c r="K24" s="1022"/>
      <c r="L24" s="1022"/>
      <c r="M24" s="1022"/>
      <c r="N24" s="1022"/>
      <c r="O24" s="1022"/>
      <c r="P24" s="992"/>
      <c r="Q24" s="418"/>
    </row>
    <row r="25" spans="2:17" ht="13.3" thickTop="1" thickBot="1">
      <c r="B25" s="1049"/>
      <c r="C25" s="1062" t="s">
        <v>151</v>
      </c>
      <c r="D25" s="1038"/>
      <c r="E25" s="59">
        <v>0</v>
      </c>
      <c r="F25" s="1056"/>
      <c r="G25" s="1012"/>
      <c r="H25" s="1012"/>
      <c r="I25" s="1014"/>
      <c r="J25" s="1027"/>
      <c r="K25" s="1022"/>
      <c r="L25" s="1022"/>
      <c r="M25" s="1022"/>
      <c r="N25" s="1022"/>
      <c r="O25" s="1022"/>
      <c r="P25" s="992"/>
      <c r="Q25" s="418"/>
    </row>
    <row r="26" spans="2:17" ht="13.3" thickTop="1" thickBot="1">
      <c r="B26" s="1057" t="s">
        <v>189</v>
      </c>
      <c r="C26" s="1046" t="s">
        <v>52</v>
      </c>
      <c r="D26" s="1044"/>
      <c r="E26" s="59">
        <v>4</v>
      </c>
      <c r="F26" s="1029">
        <f>IF($E$20&lt;2,0,$E26)</f>
        <v>4</v>
      </c>
      <c r="G26" s="1011">
        <f>IF($E$20&lt;2,0,IF($E$21&lt;2,41,IF(E20=3,IF(E21&lt;E20,90,92),92)))</f>
        <v>92</v>
      </c>
      <c r="H26" s="1011">
        <f>IF($E$20&lt;2,0,$E27)</f>
        <v>0</v>
      </c>
      <c r="I26" s="1013">
        <f>G26-H26</f>
        <v>92</v>
      </c>
      <c r="J26" s="1027"/>
      <c r="K26" s="1022"/>
      <c r="L26" s="1022"/>
      <c r="M26" s="1022"/>
      <c r="N26" s="1022"/>
      <c r="O26" s="1022"/>
      <c r="P26" s="992"/>
      <c r="Q26" s="418"/>
    </row>
    <row r="27" spans="2:17" ht="13.3" thickTop="1" thickBot="1">
      <c r="B27" s="1057"/>
      <c r="C27" s="1047" t="s">
        <v>151</v>
      </c>
      <c r="D27" s="1036"/>
      <c r="E27" s="61">
        <v>0</v>
      </c>
      <c r="F27" s="1030"/>
      <c r="G27" s="973"/>
      <c r="H27" s="973"/>
      <c r="I27" s="1053"/>
      <c r="J27" s="1028"/>
      <c r="K27" s="1023"/>
      <c r="L27" s="1023"/>
      <c r="M27" s="1023"/>
      <c r="N27" s="1023"/>
      <c r="O27" s="1023"/>
      <c r="P27" s="993"/>
      <c r="Q27" s="419"/>
    </row>
    <row r="28" spans="2:17" ht="12.9" thickBot="1">
      <c r="B28" s="1031" t="s">
        <v>192</v>
      </c>
      <c r="C28" s="1032"/>
      <c r="D28" s="1032"/>
      <c r="E28" s="1042"/>
      <c r="F28" s="88">
        <f>SUM(F16:F27)</f>
        <v>8</v>
      </c>
      <c r="G28" s="92">
        <f>SUM(G16:G27)</f>
        <v>356</v>
      </c>
      <c r="H28" s="90">
        <f>SUM(H16:H27)</f>
        <v>6</v>
      </c>
      <c r="I28" s="93">
        <f>SUM(I16:I27)</f>
        <v>350</v>
      </c>
      <c r="J28" s="376">
        <f>$I28*12000/1000</f>
        <v>4200</v>
      </c>
      <c r="K28" s="376">
        <f>$I28*6000/1000</f>
        <v>2100</v>
      </c>
      <c r="L28" s="376">
        <f>$I28*2500/1000</f>
        <v>875</v>
      </c>
      <c r="M28" s="94">
        <f>$I28*1500/1000</f>
        <v>525</v>
      </c>
      <c r="N28" s="94">
        <f>$I28*800/1000</f>
        <v>280</v>
      </c>
      <c r="O28" s="94">
        <f>$I28*400/1000</f>
        <v>140</v>
      </c>
      <c r="P28" s="394">
        <f>$I28*200/1000</f>
        <v>70</v>
      </c>
      <c r="Q28" s="394">
        <f>$I28*100/1000</f>
        <v>35</v>
      </c>
    </row>
    <row r="29" spans="2:17" ht="12.9" thickBot="1">
      <c r="B29" s="58"/>
      <c r="C29" s="58"/>
      <c r="D29" s="58"/>
      <c r="E29" s="58"/>
      <c r="F29" s="73"/>
      <c r="G29" s="73"/>
      <c r="H29" s="73"/>
      <c r="I29" s="70"/>
      <c r="J29" s="71"/>
      <c r="K29" s="71"/>
      <c r="L29" s="72"/>
      <c r="M29" s="72"/>
      <c r="N29" s="10"/>
      <c r="O29" s="10"/>
      <c r="P29" s="10"/>
      <c r="Q29" s="10"/>
    </row>
    <row r="30" spans="2:17" ht="14.15" thickBot="1">
      <c r="B30" s="1039" t="s">
        <v>558</v>
      </c>
      <c r="C30" s="1040"/>
      <c r="D30" s="1040"/>
      <c r="E30" s="1041"/>
      <c r="F30" s="1003" t="s">
        <v>150</v>
      </c>
      <c r="G30" s="997" t="s">
        <v>584</v>
      </c>
      <c r="H30" s="1006"/>
      <c r="I30" s="1007"/>
      <c r="J30" s="1015" t="s">
        <v>568</v>
      </c>
      <c r="K30" s="1016"/>
      <c r="L30" s="1016"/>
      <c r="M30" s="1016"/>
      <c r="N30" s="1016"/>
      <c r="O30" s="1017"/>
      <c r="P30" s="10"/>
      <c r="Q30" s="10"/>
    </row>
    <row r="31" spans="2:17" ht="14.6" customHeight="1" thickTop="1" thickBot="1">
      <c r="B31" s="96"/>
      <c r="C31" s="1034" t="s">
        <v>52</v>
      </c>
      <c r="D31" s="1035"/>
      <c r="E31" s="60">
        <v>1</v>
      </c>
      <c r="F31" s="1004"/>
      <c r="G31" s="1008"/>
      <c r="H31" s="1009"/>
      <c r="I31" s="1010"/>
      <c r="J31" s="1018" t="s">
        <v>193</v>
      </c>
      <c r="K31" s="1019"/>
      <c r="L31" s="1019"/>
      <c r="M31" s="1018" t="s">
        <v>187</v>
      </c>
      <c r="N31" s="1019"/>
      <c r="O31" s="1020"/>
      <c r="P31" s="10"/>
      <c r="Q31" s="10"/>
    </row>
    <row r="32" spans="2:17" ht="13.3" thickTop="1" thickBot="1">
      <c r="B32" s="87"/>
      <c r="C32" s="1036" t="s">
        <v>151</v>
      </c>
      <c r="D32" s="1036"/>
      <c r="E32" s="60">
        <v>3</v>
      </c>
      <c r="F32" s="1005"/>
      <c r="G32" s="401" t="s">
        <v>585</v>
      </c>
      <c r="H32" s="402" t="s">
        <v>586</v>
      </c>
      <c r="I32" s="403" t="s">
        <v>587</v>
      </c>
      <c r="J32" s="420" t="s">
        <v>182</v>
      </c>
      <c r="K32" s="421" t="s">
        <v>183</v>
      </c>
      <c r="L32" s="421" t="s">
        <v>184</v>
      </c>
      <c r="M32" s="420" t="s">
        <v>182</v>
      </c>
      <c r="N32" s="421" t="s">
        <v>183</v>
      </c>
      <c r="O32" s="422" t="s">
        <v>184</v>
      </c>
      <c r="P32" s="10"/>
      <c r="Q32" s="10"/>
    </row>
    <row r="33" spans="2:18" ht="13.3" thickTop="1" thickBot="1">
      <c r="B33" s="1031" t="s">
        <v>192</v>
      </c>
      <c r="C33" s="1032"/>
      <c r="D33" s="1032"/>
      <c r="E33" s="1033"/>
      <c r="F33" s="97">
        <f>E31</f>
        <v>1</v>
      </c>
      <c r="G33" s="78">
        <v>18</v>
      </c>
      <c r="H33" s="98">
        <f>E32</f>
        <v>3</v>
      </c>
      <c r="I33" s="99">
        <f>G33-H33</f>
        <v>15</v>
      </c>
      <c r="J33" s="100">
        <f>I33*1000/1000</f>
        <v>15</v>
      </c>
      <c r="K33" s="82">
        <f>I33*640/1000</f>
        <v>9.6</v>
      </c>
      <c r="L33" s="82">
        <f>I33*128/1000</f>
        <v>1.92</v>
      </c>
      <c r="M33" s="100">
        <f>I33*700/1000</f>
        <v>10.5</v>
      </c>
      <c r="N33" s="82">
        <f>I33*500/1000</f>
        <v>7.5</v>
      </c>
      <c r="O33" s="101">
        <f>I33*100/1000</f>
        <v>1.5</v>
      </c>
      <c r="P33" s="10"/>
      <c r="Q33" s="10"/>
    </row>
    <row r="34" spans="2:18">
      <c r="F34" s="10"/>
      <c r="G34" s="10"/>
      <c r="H34" s="10"/>
      <c r="I34" s="10"/>
      <c r="J34" s="10"/>
      <c r="K34" s="10"/>
      <c r="L34" s="10"/>
      <c r="M34" s="10"/>
      <c r="N34" s="10"/>
      <c r="O34" s="10"/>
      <c r="P34" s="10"/>
      <c r="Q34" s="10"/>
    </row>
    <row r="35" spans="2:18" ht="13.75">
      <c r="B35" s="208" t="s">
        <v>612</v>
      </c>
      <c r="C35" s="209"/>
      <c r="D35" s="210"/>
      <c r="E35" s="210"/>
      <c r="F35" s="423"/>
      <c r="G35" s="423"/>
      <c r="H35" s="10"/>
      <c r="I35" s="10"/>
      <c r="J35" s="10"/>
      <c r="K35" s="10"/>
      <c r="L35" s="10"/>
      <c r="M35" s="10"/>
      <c r="N35" s="10"/>
      <c r="O35" s="10"/>
      <c r="P35" s="10"/>
      <c r="Q35" s="10"/>
    </row>
    <row r="36" spans="2:18" ht="13.75">
      <c r="B36" s="208" t="s">
        <v>611</v>
      </c>
      <c r="C36" s="209"/>
      <c r="D36" s="210"/>
      <c r="E36" s="210"/>
      <c r="F36" s="423"/>
      <c r="G36" s="423"/>
      <c r="H36" s="10"/>
      <c r="I36" s="10"/>
      <c r="J36" s="10"/>
      <c r="K36" s="10"/>
      <c r="L36" s="10"/>
      <c r="M36" s="10"/>
      <c r="N36" s="10"/>
      <c r="O36" s="10"/>
      <c r="P36" s="10"/>
      <c r="Q36" s="10"/>
    </row>
    <row r="37" spans="2:18" ht="13.75">
      <c r="B37" s="208" t="s">
        <v>610</v>
      </c>
      <c r="C37" s="209"/>
      <c r="D37" s="210"/>
      <c r="E37" s="210"/>
      <c r="F37" s="423"/>
      <c r="G37" s="423"/>
      <c r="H37" s="10"/>
      <c r="I37" s="10"/>
      <c r="J37" s="10"/>
      <c r="K37" s="10"/>
      <c r="L37" s="10"/>
      <c r="M37" s="10"/>
      <c r="N37" s="10"/>
      <c r="O37" s="10"/>
      <c r="P37" s="10"/>
      <c r="Q37" s="10"/>
    </row>
    <row r="38" spans="2:18" ht="12.9" thickBot="1">
      <c r="F38" s="10"/>
      <c r="G38" s="10"/>
      <c r="H38" s="10"/>
      <c r="I38" s="10"/>
      <c r="J38" s="10"/>
      <c r="K38" s="10"/>
      <c r="L38" s="10"/>
      <c r="M38" s="10"/>
      <c r="N38" s="10"/>
      <c r="O38" s="10"/>
      <c r="P38" s="10"/>
      <c r="Q38" s="10"/>
    </row>
    <row r="39" spans="2:18" ht="12.9" thickBot="1">
      <c r="B39" s="957" t="s">
        <v>650</v>
      </c>
      <c r="C39" s="958"/>
      <c r="D39" s="958"/>
      <c r="E39" s="959"/>
      <c r="F39" s="963" t="s">
        <v>150</v>
      </c>
      <c r="G39" s="977" t="s">
        <v>584</v>
      </c>
      <c r="H39" s="978"/>
      <c r="I39" s="978"/>
      <c r="J39" s="942" t="s">
        <v>590</v>
      </c>
      <c r="K39" s="943"/>
      <c r="L39" s="943"/>
      <c r="M39" s="943"/>
      <c r="N39" s="943"/>
      <c r="O39" s="943"/>
      <c r="P39" s="943"/>
      <c r="Q39" s="943"/>
      <c r="R39" s="943"/>
    </row>
    <row r="40" spans="2:18" ht="12.9" thickBot="1">
      <c r="B40" s="960"/>
      <c r="C40" s="961"/>
      <c r="D40" s="961"/>
      <c r="E40" s="962"/>
      <c r="F40" s="964"/>
      <c r="G40" s="401" t="s">
        <v>585</v>
      </c>
      <c r="H40" s="402" t="s">
        <v>586</v>
      </c>
      <c r="I40" s="403" t="s">
        <v>587</v>
      </c>
      <c r="J40" s="408" t="s">
        <v>623</v>
      </c>
      <c r="K40" s="404" t="s">
        <v>567</v>
      </c>
      <c r="L40" s="405" t="s">
        <v>337</v>
      </c>
      <c r="M40" s="406" t="s">
        <v>322</v>
      </c>
      <c r="N40" s="539" t="s">
        <v>283</v>
      </c>
      <c r="O40" s="408" t="s">
        <v>152</v>
      </c>
      <c r="P40" s="540" t="s">
        <v>153</v>
      </c>
      <c r="Q40" s="541" t="s">
        <v>154</v>
      </c>
      <c r="R40" s="542" t="s">
        <v>155</v>
      </c>
    </row>
    <row r="41" spans="2:18" ht="14.25" customHeight="1" thickTop="1" thickBot="1">
      <c r="B41" s="928" t="s">
        <v>552</v>
      </c>
      <c r="C41" s="930" t="s">
        <v>52</v>
      </c>
      <c r="D41" s="931"/>
      <c r="E41" s="59">
        <v>0</v>
      </c>
      <c r="F41" s="932">
        <f>IF($A$200=3,IF($E$55&lt;15,0,$E41))</f>
        <v>0</v>
      </c>
      <c r="G41" s="934">
        <f>IF($A$200=3,IF($E$55&lt;15,0,40))</f>
        <v>0</v>
      </c>
      <c r="H41" s="936">
        <f>IF($A$200=3,IF($E$55&lt;15,0,$E42))</f>
        <v>0</v>
      </c>
      <c r="I41" s="938">
        <f>IF($A$200=3,IF($E$55&gt;=15,G41-IF(H41="No",0,5),0))</f>
        <v>0</v>
      </c>
      <c r="J41" s="1088"/>
      <c r="K41" s="1090"/>
      <c r="L41" s="1092"/>
      <c r="M41" s="1092"/>
      <c r="N41" s="1094"/>
      <c r="O41" s="1094"/>
      <c r="P41" s="1094"/>
      <c r="Q41" s="1094"/>
      <c r="R41" s="1094"/>
    </row>
    <row r="42" spans="2:18" ht="13.3" thickTop="1" thickBot="1">
      <c r="B42" s="929"/>
      <c r="C42" s="940" t="s">
        <v>151</v>
      </c>
      <c r="D42" s="941"/>
      <c r="E42" s="390" t="s">
        <v>588</v>
      </c>
      <c r="F42" s="949"/>
      <c r="G42" s="950"/>
      <c r="H42" s="951"/>
      <c r="I42" s="952"/>
      <c r="J42" s="1088"/>
      <c r="K42" s="1090"/>
      <c r="L42" s="1092"/>
      <c r="M42" s="1092"/>
      <c r="N42" s="1094"/>
      <c r="O42" s="1094"/>
      <c r="P42" s="1094"/>
      <c r="Q42" s="1094"/>
      <c r="R42" s="1094"/>
    </row>
    <row r="43" spans="2:18" ht="14.25" customHeight="1" thickTop="1" thickBot="1">
      <c r="B43" s="928" t="s">
        <v>552</v>
      </c>
      <c r="C43" s="930" t="s">
        <v>52</v>
      </c>
      <c r="D43" s="931"/>
      <c r="E43" s="59">
        <v>0</v>
      </c>
      <c r="F43" s="932">
        <f>IF($A$200=3,IF($E$55&lt;14,0,$E43))</f>
        <v>0</v>
      </c>
      <c r="G43" s="934">
        <f>IF($A$200=3,IF($E$55&lt;14,0,40))</f>
        <v>0</v>
      </c>
      <c r="H43" s="936">
        <f>IF($A$200=3,IF($E$55&lt;14,0,$E44))</f>
        <v>0</v>
      </c>
      <c r="I43" s="938">
        <f>IF($A$200=3,IF($E$55&gt;=14,G43-IF(H43="No",0,5),0))</f>
        <v>0</v>
      </c>
      <c r="J43" s="1088"/>
      <c r="K43" s="1090"/>
      <c r="L43" s="1092"/>
      <c r="M43" s="1092"/>
      <c r="N43" s="1094"/>
      <c r="O43" s="1094"/>
      <c r="P43" s="1094"/>
      <c r="Q43" s="1094"/>
      <c r="R43" s="1094"/>
    </row>
    <row r="44" spans="2:18" ht="13.3" thickTop="1" thickBot="1">
      <c r="B44" s="929"/>
      <c r="C44" s="940" t="s">
        <v>151</v>
      </c>
      <c r="D44" s="941"/>
      <c r="E44" s="390" t="s">
        <v>588</v>
      </c>
      <c r="F44" s="949"/>
      <c r="G44" s="950"/>
      <c r="H44" s="951"/>
      <c r="I44" s="952"/>
      <c r="J44" s="1088"/>
      <c r="K44" s="1090"/>
      <c r="L44" s="1092"/>
      <c r="M44" s="1092"/>
      <c r="N44" s="1094"/>
      <c r="O44" s="1094"/>
      <c r="P44" s="1094"/>
      <c r="Q44" s="1094"/>
      <c r="R44" s="1094"/>
    </row>
    <row r="45" spans="2:18" ht="14.25" customHeight="1" thickTop="1" thickBot="1">
      <c r="B45" s="928" t="s">
        <v>552</v>
      </c>
      <c r="C45" s="930" t="s">
        <v>52</v>
      </c>
      <c r="D45" s="931"/>
      <c r="E45" s="59">
        <v>0</v>
      </c>
      <c r="F45" s="932">
        <f>IF($A$200=3,IF($E$55&lt;13,0,$E45))</f>
        <v>0</v>
      </c>
      <c r="G45" s="934">
        <f>IF($A$200=3,IF($E$55&lt;13,0,40))</f>
        <v>0</v>
      </c>
      <c r="H45" s="936">
        <f>IF($A$200=3,IF($E$55&lt;13,0,$E46))</f>
        <v>0</v>
      </c>
      <c r="I45" s="938">
        <f>IF($A$200=3,IF($E$55&gt;=13,G45-IF(H45="No",0,5),0))</f>
        <v>0</v>
      </c>
      <c r="J45" s="1088"/>
      <c r="K45" s="1090"/>
      <c r="L45" s="1092"/>
      <c r="M45" s="1092"/>
      <c r="N45" s="1094"/>
      <c r="O45" s="1094"/>
      <c r="P45" s="1094"/>
      <c r="Q45" s="1094"/>
      <c r="R45" s="1094"/>
    </row>
    <row r="46" spans="2:18" ht="13.3" thickTop="1" thickBot="1">
      <c r="B46" s="929"/>
      <c r="C46" s="940" t="s">
        <v>151</v>
      </c>
      <c r="D46" s="941"/>
      <c r="E46" s="390" t="s">
        <v>588</v>
      </c>
      <c r="F46" s="949"/>
      <c r="G46" s="950"/>
      <c r="H46" s="951"/>
      <c r="I46" s="952"/>
      <c r="J46" s="1088"/>
      <c r="K46" s="1090"/>
      <c r="L46" s="1092"/>
      <c r="M46" s="1092"/>
      <c r="N46" s="1094"/>
      <c r="O46" s="1094"/>
      <c r="P46" s="1094"/>
      <c r="Q46" s="1094"/>
      <c r="R46" s="1094"/>
    </row>
    <row r="47" spans="2:18" ht="14.25" customHeight="1" thickTop="1" thickBot="1">
      <c r="B47" s="928" t="s">
        <v>552</v>
      </c>
      <c r="C47" s="930" t="s">
        <v>52</v>
      </c>
      <c r="D47" s="931"/>
      <c r="E47" s="59">
        <v>0</v>
      </c>
      <c r="F47" s="932">
        <f>IF($A$200=3,IF($E$55&lt;12,0,$E47))</f>
        <v>0</v>
      </c>
      <c r="G47" s="934">
        <f>IF($A$200=3,IF($E$55&lt;12,0,40))</f>
        <v>0</v>
      </c>
      <c r="H47" s="936">
        <f>IF($A$200=3,IF($E$55&lt;12,0,$E48))</f>
        <v>0</v>
      </c>
      <c r="I47" s="938">
        <f>IF($A$200=3,IF($E$55&gt;=12,G47-IF(H47="No",0,5),0))</f>
        <v>0</v>
      </c>
      <c r="J47" s="1088"/>
      <c r="K47" s="1090"/>
      <c r="L47" s="1092"/>
      <c r="M47" s="1092"/>
      <c r="N47" s="1094"/>
      <c r="O47" s="1094"/>
      <c r="P47" s="1094"/>
      <c r="Q47" s="1094"/>
      <c r="R47" s="1094"/>
    </row>
    <row r="48" spans="2:18" ht="13.3" thickTop="1" thickBot="1">
      <c r="B48" s="929"/>
      <c r="C48" s="940" t="s">
        <v>151</v>
      </c>
      <c r="D48" s="941"/>
      <c r="E48" s="390" t="s">
        <v>588</v>
      </c>
      <c r="F48" s="949"/>
      <c r="G48" s="950"/>
      <c r="H48" s="951"/>
      <c r="I48" s="952"/>
      <c r="J48" s="1088"/>
      <c r="K48" s="1090"/>
      <c r="L48" s="1092"/>
      <c r="M48" s="1092"/>
      <c r="N48" s="1094"/>
      <c r="O48" s="1094"/>
      <c r="P48" s="1094"/>
      <c r="Q48" s="1094"/>
      <c r="R48" s="1094"/>
    </row>
    <row r="49" spans="2:22" ht="14.25" customHeight="1" thickTop="1" thickBot="1">
      <c r="B49" s="928" t="s">
        <v>552</v>
      </c>
      <c r="C49" s="930" t="s">
        <v>52</v>
      </c>
      <c r="D49" s="931"/>
      <c r="E49" s="59">
        <v>0</v>
      </c>
      <c r="F49" s="932">
        <f>IF($A$200=3,IF($E$55&lt;9,0,$E49),IF($A$200&lt;=2,IF($E$55&lt;6,0,$E49)))</f>
        <v>0</v>
      </c>
      <c r="G49" s="934">
        <f>IF($A$200=3,IF($E$55&lt;9,0,40),IF($A$200&lt;=2,IF($E$55&lt;6,0,40)))</f>
        <v>0</v>
      </c>
      <c r="H49" s="936">
        <f>IF($A$200=3,IF($E$55&lt;9,0,$E50),IF($A$200&lt;=2,IF($E$55&lt;4,0,$E50)))</f>
        <v>0</v>
      </c>
      <c r="I49" s="938">
        <f>IF($A$200=3,IF($E$55&gt;=11,G49-IF(H49="No",0,5),0),IF($E$55&gt;=6,G49-IF(H49="No",0,5),0))</f>
        <v>0</v>
      </c>
      <c r="J49" s="1088"/>
      <c r="K49" s="1090"/>
      <c r="L49" s="1092"/>
      <c r="M49" s="1092"/>
      <c r="N49" s="1094"/>
      <c r="O49" s="1094"/>
      <c r="P49" s="1094"/>
      <c r="Q49" s="1094"/>
      <c r="R49" s="1094"/>
    </row>
    <row r="50" spans="2:22" ht="13.3" thickTop="1" thickBot="1">
      <c r="B50" s="929"/>
      <c r="C50" s="940" t="s">
        <v>151</v>
      </c>
      <c r="D50" s="941"/>
      <c r="E50" s="390" t="s">
        <v>588</v>
      </c>
      <c r="F50" s="949"/>
      <c r="G50" s="950"/>
      <c r="H50" s="951"/>
      <c r="I50" s="952"/>
      <c r="J50" s="1088"/>
      <c r="K50" s="1090"/>
      <c r="L50" s="1092"/>
      <c r="M50" s="1092"/>
      <c r="N50" s="1094"/>
      <c r="O50" s="1094"/>
      <c r="P50" s="1094"/>
      <c r="Q50" s="1094"/>
      <c r="R50" s="1094"/>
    </row>
    <row r="51" spans="2:22" ht="14.25" customHeight="1" thickTop="1" thickBot="1">
      <c r="B51" s="928" t="s">
        <v>552</v>
      </c>
      <c r="C51" s="930" t="s">
        <v>52</v>
      </c>
      <c r="D51" s="931"/>
      <c r="E51" s="59">
        <v>0</v>
      </c>
      <c r="F51" s="932">
        <f>IF($A$200=3,IF($E$55&lt;9,0,$E51),IF($A$200&lt;=2,IF($E$55&lt;5,0,$E51)))</f>
        <v>0</v>
      </c>
      <c r="G51" s="934">
        <f>IF($A$200=3,IF($E$55&lt;9,0,40),IF($A$200&lt;=2,IF($E$55&lt;5,0,40)))</f>
        <v>0</v>
      </c>
      <c r="H51" s="936">
        <f>IF($A$200=3,IF($E$55&lt;9,0,$E52),IF($A$200&lt;=2,IF($E$55&lt;4,0,$E52)))</f>
        <v>0</v>
      </c>
      <c r="I51" s="938">
        <f>IF($A$200=3,IF($E$55&gt;=10,G51-IF(H51="No",0,5),0),IF($E$55&gt;=5,G51-IF(H51="No",0,5),0))</f>
        <v>0</v>
      </c>
      <c r="J51" s="1088"/>
      <c r="K51" s="1090"/>
      <c r="L51" s="1092"/>
      <c r="M51" s="1092"/>
      <c r="N51" s="1094"/>
      <c r="O51" s="1094"/>
      <c r="P51" s="1094"/>
      <c r="Q51" s="1094"/>
      <c r="R51" s="1094"/>
    </row>
    <row r="52" spans="2:22" ht="13.3" thickTop="1" thickBot="1">
      <c r="B52" s="929"/>
      <c r="C52" s="940" t="s">
        <v>151</v>
      </c>
      <c r="D52" s="941"/>
      <c r="E52" s="390" t="s">
        <v>588</v>
      </c>
      <c r="F52" s="933"/>
      <c r="G52" s="935"/>
      <c r="H52" s="937"/>
      <c r="I52" s="939"/>
      <c r="J52" s="1088"/>
      <c r="K52" s="1090"/>
      <c r="L52" s="1092"/>
      <c r="M52" s="1092"/>
      <c r="N52" s="1094"/>
      <c r="O52" s="1094"/>
      <c r="P52" s="1094"/>
      <c r="Q52" s="1094"/>
      <c r="R52" s="1094"/>
    </row>
    <row r="53" spans="2:22" ht="14.25" customHeight="1" thickTop="1" thickBot="1">
      <c r="B53" s="928" t="s">
        <v>552</v>
      </c>
      <c r="C53" s="944" t="s">
        <v>52</v>
      </c>
      <c r="D53" s="945"/>
      <c r="E53" s="59">
        <v>0</v>
      </c>
      <c r="F53" s="932">
        <f>IF($A$200=3,IF($E$55&lt;9,0,$E53),IF($A$200&lt;=2,IF($E$55&lt;4,0,$E53)))</f>
        <v>0</v>
      </c>
      <c r="G53" s="934">
        <f>IF($A$200=3,IF($E$55&lt;9,0,40),IF($A$200&lt;=2,IF($E$55&lt;4,0,40)))</f>
        <v>0</v>
      </c>
      <c r="H53" s="936">
        <f>IF($A$200=3,IF($E$55&lt;9,0,$E54),IF($A$200&lt;=2,IF($E$55&lt;4,0,$E54)))</f>
        <v>0</v>
      </c>
      <c r="I53" s="938">
        <f>IF($A$200=3,IF($E$55&gt;=9,G53-IF(H53="No",0,5),0),IF($E$55&gt;=4,G53-IF(H53="No",0,5),0))</f>
        <v>0</v>
      </c>
      <c r="J53" s="1088"/>
      <c r="K53" s="1090"/>
      <c r="L53" s="1092"/>
      <c r="M53" s="1092"/>
      <c r="N53" s="1094"/>
      <c r="O53" s="1094"/>
      <c r="P53" s="1094"/>
      <c r="Q53" s="1094"/>
      <c r="R53" s="1094"/>
    </row>
    <row r="54" spans="2:22" ht="15.45" thickTop="1" thickBot="1">
      <c r="B54" s="929"/>
      <c r="C54" s="947" t="s">
        <v>151</v>
      </c>
      <c r="D54" s="948"/>
      <c r="E54" s="390" t="s">
        <v>588</v>
      </c>
      <c r="F54" s="946"/>
      <c r="G54" s="935"/>
      <c r="H54" s="937"/>
      <c r="I54" s="939"/>
      <c r="J54" s="1088"/>
      <c r="K54" s="1090"/>
      <c r="L54" s="1092"/>
      <c r="M54" s="1092"/>
      <c r="N54" s="1094"/>
      <c r="O54" s="1094"/>
      <c r="P54" s="1094"/>
      <c r="Q54" s="1094"/>
      <c r="R54" s="1094"/>
      <c r="U54" s="548"/>
      <c r="V54" s="549"/>
    </row>
    <row r="55" spans="2:22" ht="13.3" thickTop="1" thickBot="1">
      <c r="B55" s="965" t="s">
        <v>551</v>
      </c>
      <c r="C55" s="930" t="s">
        <v>156</v>
      </c>
      <c r="D55" s="968"/>
      <c r="E55" s="392">
        <v>0</v>
      </c>
      <c r="F55" s="969">
        <f>E56</f>
        <v>2</v>
      </c>
      <c r="G55" s="971">
        <f>IF($E$55=0,IF($B$39="TS4300 (3555-L3A/E3A) R1/R2",32,40),40)</f>
        <v>40</v>
      </c>
      <c r="H55" s="974" t="str">
        <f>E57</f>
        <v>Yes</v>
      </c>
      <c r="I55" s="1096">
        <f>G55-IF(H55="No",0,IF($B$39="TS4300 (3555-L3A/E3A) R1/R2",IF($E$55=0,4,5),5))</f>
        <v>35</v>
      </c>
      <c r="J55" s="1088"/>
      <c r="K55" s="1090"/>
      <c r="L55" s="1092"/>
      <c r="M55" s="1092"/>
      <c r="N55" s="1094"/>
      <c r="O55" s="1094"/>
      <c r="P55" s="1094"/>
      <c r="Q55" s="1094"/>
      <c r="R55" s="1094"/>
    </row>
    <row r="56" spans="2:22" ht="13.3" thickTop="1" thickBot="1">
      <c r="B56" s="966"/>
      <c r="C56" s="953" t="s">
        <v>150</v>
      </c>
      <c r="D56" s="954"/>
      <c r="E56" s="379">
        <v>2</v>
      </c>
      <c r="F56" s="969"/>
      <c r="G56" s="972"/>
      <c r="H56" s="975"/>
      <c r="I56" s="1097"/>
      <c r="J56" s="1088"/>
      <c r="K56" s="1090"/>
      <c r="L56" s="1092"/>
      <c r="M56" s="1092"/>
      <c r="N56" s="1094"/>
      <c r="O56" s="1094"/>
      <c r="P56" s="1094"/>
      <c r="Q56" s="1094"/>
      <c r="R56" s="1094"/>
    </row>
    <row r="57" spans="2:22" ht="13.3" thickTop="1" thickBot="1">
      <c r="B57" s="967"/>
      <c r="C57" s="955" t="s">
        <v>151</v>
      </c>
      <c r="D57" s="956"/>
      <c r="E57" s="390" t="s">
        <v>589</v>
      </c>
      <c r="F57" s="970"/>
      <c r="G57" s="973"/>
      <c r="H57" s="976"/>
      <c r="I57" s="1098"/>
      <c r="J57" s="1088"/>
      <c r="K57" s="1090"/>
      <c r="L57" s="1092"/>
      <c r="M57" s="1092"/>
      <c r="N57" s="1094"/>
      <c r="O57" s="1094"/>
      <c r="P57" s="1094"/>
      <c r="Q57" s="1094"/>
      <c r="R57" s="1094"/>
    </row>
    <row r="58" spans="2:22" ht="14.25" customHeight="1" thickTop="1" thickBot="1">
      <c r="B58" s="928" t="s">
        <v>552</v>
      </c>
      <c r="C58" s="944" t="s">
        <v>52</v>
      </c>
      <c r="D58" s="945"/>
      <c r="E58" s="59">
        <v>0</v>
      </c>
      <c r="F58" s="988">
        <f>IF($E$55&lt;1,0,$E58)</f>
        <v>0</v>
      </c>
      <c r="G58" s="982">
        <f>IF($E$55&lt;1,0,IF($E$55&gt;1, 40, IF($B$39="TS4300 (3555-L3A/E3A) R1/R2",32,40)))</f>
        <v>0</v>
      </c>
      <c r="H58" s="983">
        <f>IF($E$55&lt;1,0,$E59)</f>
        <v>0</v>
      </c>
      <c r="I58" s="984" t="b">
        <f>IF($E$55&gt;=1,G58-IF(H58="No",0,IF($B$39="TS4300 (3555-L3A/E3A) R1/R2",IF($E$55=1,4,5),5)))</f>
        <v>0</v>
      </c>
      <c r="J58" s="1088"/>
      <c r="K58" s="1090"/>
      <c r="L58" s="1092"/>
      <c r="M58" s="1092"/>
      <c r="N58" s="1094"/>
      <c r="O58" s="1094"/>
      <c r="P58" s="1094"/>
      <c r="Q58" s="1094"/>
      <c r="R58" s="1094"/>
    </row>
    <row r="59" spans="2:22" ht="13.3" thickTop="1" thickBot="1">
      <c r="B59" s="929"/>
      <c r="C59" s="985" t="s">
        <v>151</v>
      </c>
      <c r="D59" s="986"/>
      <c r="E59" s="390" t="s">
        <v>588</v>
      </c>
      <c r="F59" s="949"/>
      <c r="G59" s="950"/>
      <c r="H59" s="951"/>
      <c r="I59" s="952"/>
      <c r="J59" s="1088"/>
      <c r="K59" s="1090"/>
      <c r="L59" s="1092"/>
      <c r="M59" s="1092"/>
      <c r="N59" s="1094"/>
      <c r="O59" s="1094"/>
      <c r="P59" s="1094"/>
      <c r="Q59" s="1094"/>
      <c r="R59" s="1094"/>
    </row>
    <row r="60" spans="2:22" ht="14.25" customHeight="1" thickTop="1" thickBot="1">
      <c r="B60" s="928" t="s">
        <v>552</v>
      </c>
      <c r="C60" s="930" t="s">
        <v>52</v>
      </c>
      <c r="D60" s="931"/>
      <c r="E60" s="59">
        <v>0</v>
      </c>
      <c r="F60" s="932">
        <f>IF($E$55&lt;2,0,$E60)</f>
        <v>0</v>
      </c>
      <c r="G60" s="934">
        <f>IF($E$55&lt;2,0,IF($E$55=2, IF($B$39="TS4300 (3555-L3A/E3A) R1/R2",32,40), 40))</f>
        <v>0</v>
      </c>
      <c r="H60" s="936">
        <f>IF($E$55&lt;2,0,$E61)</f>
        <v>0</v>
      </c>
      <c r="I60" s="938" t="b">
        <f>IF($E$55&gt;=2,G60-IF(H60="No",0,IF($B$39="TS4300 (3555-L3A/E3A) R1/R2",IF($E$55=2,4,5),5)))</f>
        <v>0</v>
      </c>
      <c r="J60" s="1088"/>
      <c r="K60" s="1090"/>
      <c r="L60" s="1092"/>
      <c r="M60" s="1092"/>
      <c r="N60" s="1094"/>
      <c r="O60" s="1094"/>
      <c r="P60" s="1094"/>
      <c r="Q60" s="1094"/>
      <c r="R60" s="1094"/>
    </row>
    <row r="61" spans="2:22" ht="13.3" thickTop="1" thickBot="1">
      <c r="B61" s="929"/>
      <c r="C61" s="940" t="s">
        <v>151</v>
      </c>
      <c r="D61" s="941"/>
      <c r="E61" s="543" t="s">
        <v>588</v>
      </c>
      <c r="F61" s="949"/>
      <c r="G61" s="950"/>
      <c r="H61" s="951"/>
      <c r="I61" s="952"/>
      <c r="J61" s="1088"/>
      <c r="K61" s="1090"/>
      <c r="L61" s="1092"/>
      <c r="M61" s="1092"/>
      <c r="N61" s="1094"/>
      <c r="O61" s="1094"/>
      <c r="P61" s="1094"/>
      <c r="Q61" s="1094"/>
      <c r="R61" s="1094"/>
    </row>
    <row r="62" spans="2:22" ht="14.25" customHeight="1" thickTop="1" thickBot="1">
      <c r="B62" s="987" t="s">
        <v>552</v>
      </c>
      <c r="C62" s="944" t="s">
        <v>52</v>
      </c>
      <c r="D62" s="945"/>
      <c r="E62" s="59">
        <v>0</v>
      </c>
      <c r="F62" s="932">
        <f>IF($E$55&lt;3,0,$E62)</f>
        <v>0</v>
      </c>
      <c r="G62" s="934">
        <f>IF($E$55&lt;3,0,IF($B$39="TS4300 (3555-L3A/E3A) R1/R2",32,40))</f>
        <v>0</v>
      </c>
      <c r="H62" s="936">
        <f>IF($E$55&lt;3,0,$E63)</f>
        <v>0</v>
      </c>
      <c r="I62" s="938" t="b">
        <f>IF($E$55&gt;=3,G62-IF(H62="No",0,IF($B$39="TS4300 (3555-L3A/E3A) R1/R2",IF($E$55&gt;=3,4,0),5)))</f>
        <v>0</v>
      </c>
      <c r="J62" s="1088"/>
      <c r="K62" s="1090"/>
      <c r="L62" s="1092"/>
      <c r="M62" s="1092"/>
      <c r="N62" s="1094"/>
      <c r="O62" s="1094"/>
      <c r="P62" s="1094"/>
      <c r="Q62" s="1094"/>
      <c r="R62" s="1094"/>
    </row>
    <row r="63" spans="2:22" ht="13.3" thickTop="1" thickBot="1">
      <c r="B63" s="929"/>
      <c r="C63" s="985" t="s">
        <v>151</v>
      </c>
      <c r="D63" s="986"/>
      <c r="E63" s="391" t="s">
        <v>588</v>
      </c>
      <c r="F63" s="933"/>
      <c r="G63" s="935"/>
      <c r="H63" s="937"/>
      <c r="I63" s="939"/>
      <c r="J63" s="1088"/>
      <c r="K63" s="1090"/>
      <c r="L63" s="1092"/>
      <c r="M63" s="1092"/>
      <c r="N63" s="1094"/>
      <c r="O63" s="1094"/>
      <c r="P63" s="1094"/>
      <c r="Q63" s="1094"/>
      <c r="R63" s="1094"/>
    </row>
    <row r="64" spans="2:22" ht="14.25" customHeight="1" thickTop="1" thickBot="1">
      <c r="B64" s="987" t="s">
        <v>552</v>
      </c>
      <c r="C64" s="989" t="s">
        <v>52</v>
      </c>
      <c r="D64" s="990"/>
      <c r="E64" s="59">
        <v>0</v>
      </c>
      <c r="F64" s="932">
        <f>IF($A$200=3,IF($E$55&lt;4,0,$E64))</f>
        <v>0</v>
      </c>
      <c r="G64" s="934">
        <f>IF($A$200=3,IF($E$55&lt;4,0,40))</f>
        <v>0</v>
      </c>
      <c r="H64" s="936">
        <f>IF($A$200=3,IF($E$55&lt;4,0,$E65))</f>
        <v>0</v>
      </c>
      <c r="I64" s="938">
        <f>IF($A$200=3,IF($E$55&gt;=4,G64-IF(H64="No",0,5),0))</f>
        <v>0</v>
      </c>
      <c r="J64" s="1088"/>
      <c r="K64" s="1090"/>
      <c r="L64" s="1092"/>
      <c r="M64" s="1092"/>
      <c r="N64" s="1094"/>
      <c r="O64" s="1094"/>
      <c r="P64" s="1094"/>
      <c r="Q64" s="1094"/>
      <c r="R64" s="1094"/>
    </row>
    <row r="65" spans="2:18" ht="13.3" thickTop="1" thickBot="1">
      <c r="B65" s="929"/>
      <c r="C65" s="985" t="s">
        <v>151</v>
      </c>
      <c r="D65" s="986"/>
      <c r="E65" s="391" t="s">
        <v>588</v>
      </c>
      <c r="F65" s="933"/>
      <c r="G65" s="935"/>
      <c r="H65" s="937"/>
      <c r="I65" s="939"/>
      <c r="J65" s="1088"/>
      <c r="K65" s="1090"/>
      <c r="L65" s="1092"/>
      <c r="M65" s="1092"/>
      <c r="N65" s="1094"/>
      <c r="O65" s="1094"/>
      <c r="P65" s="1094"/>
      <c r="Q65" s="1094"/>
      <c r="R65" s="1094"/>
    </row>
    <row r="66" spans="2:18" ht="14.25" customHeight="1" thickTop="1" thickBot="1">
      <c r="B66" s="987" t="s">
        <v>552</v>
      </c>
      <c r="C66" s="930" t="s">
        <v>52</v>
      </c>
      <c r="D66" s="931"/>
      <c r="E66" s="59">
        <v>0</v>
      </c>
      <c r="F66" s="932">
        <f>IF($A$200=3,IF($E$55&lt;5,0,$E66))</f>
        <v>0</v>
      </c>
      <c r="G66" s="934">
        <f>IF($A$200=3,IF($E$55&lt;5,0,40))</f>
        <v>0</v>
      </c>
      <c r="H66" s="936">
        <f>IF($A$200=3,IF($E$55&lt;5,0,$E67))</f>
        <v>0</v>
      </c>
      <c r="I66" s="938">
        <f>IF($A$200=3,IF($E$55&gt;=5,G66-IF(H66="No",0,5),0))</f>
        <v>0</v>
      </c>
      <c r="J66" s="1088"/>
      <c r="K66" s="1090"/>
      <c r="L66" s="1092"/>
      <c r="M66" s="1092"/>
      <c r="N66" s="1094"/>
      <c r="O66" s="1094"/>
      <c r="P66" s="1094"/>
      <c r="Q66" s="1094"/>
      <c r="R66" s="1094"/>
    </row>
    <row r="67" spans="2:18" ht="13.3" thickTop="1" thickBot="1">
      <c r="B67" s="929"/>
      <c r="C67" s="940" t="s">
        <v>151</v>
      </c>
      <c r="D67" s="941"/>
      <c r="E67" s="391" t="s">
        <v>588</v>
      </c>
      <c r="F67" s="933"/>
      <c r="G67" s="935"/>
      <c r="H67" s="937"/>
      <c r="I67" s="939"/>
      <c r="J67" s="1088"/>
      <c r="K67" s="1090"/>
      <c r="L67" s="1092"/>
      <c r="M67" s="1092"/>
      <c r="N67" s="1094"/>
      <c r="O67" s="1094"/>
      <c r="P67" s="1094"/>
      <c r="Q67" s="1094"/>
      <c r="R67" s="1094"/>
    </row>
    <row r="68" spans="2:18" ht="14.25" customHeight="1" thickTop="1" thickBot="1">
      <c r="B68" s="987" t="s">
        <v>552</v>
      </c>
      <c r="C68" s="989" t="s">
        <v>52</v>
      </c>
      <c r="D68" s="990"/>
      <c r="E68" s="59">
        <v>0</v>
      </c>
      <c r="F68" s="932">
        <f>IF($A$200=3,IF($E$55&lt;6,0,$E68))</f>
        <v>0</v>
      </c>
      <c r="G68" s="934">
        <f>IF($A$200=3,IF($E$55&lt;6,0,40))</f>
        <v>0</v>
      </c>
      <c r="H68" s="936">
        <f>IF($A$200=3,IF($E$55&lt;6,0,$E69))</f>
        <v>0</v>
      </c>
      <c r="I68" s="938">
        <f>IF($A$200=3,IF($E$55&gt;=6,G68-IF(H68="No",0,5),0))</f>
        <v>0</v>
      </c>
      <c r="J68" s="1088"/>
      <c r="K68" s="1090"/>
      <c r="L68" s="1092"/>
      <c r="M68" s="1092"/>
      <c r="N68" s="1094"/>
      <c r="O68" s="1094"/>
      <c r="P68" s="1094"/>
      <c r="Q68" s="1094"/>
      <c r="R68" s="1094"/>
    </row>
    <row r="69" spans="2:18" ht="13.3" thickTop="1" thickBot="1">
      <c r="B69" s="929"/>
      <c r="C69" s="985" t="s">
        <v>151</v>
      </c>
      <c r="D69" s="986"/>
      <c r="E69" s="391" t="s">
        <v>588</v>
      </c>
      <c r="F69" s="933"/>
      <c r="G69" s="935"/>
      <c r="H69" s="937"/>
      <c r="I69" s="939"/>
      <c r="J69" s="1088"/>
      <c r="K69" s="1090"/>
      <c r="L69" s="1092"/>
      <c r="M69" s="1092"/>
      <c r="N69" s="1094"/>
      <c r="O69" s="1094"/>
      <c r="P69" s="1094"/>
      <c r="Q69" s="1094"/>
      <c r="R69" s="1094"/>
    </row>
    <row r="70" spans="2:18" ht="14.25" customHeight="1" thickTop="1" thickBot="1">
      <c r="B70" s="987" t="s">
        <v>552</v>
      </c>
      <c r="C70" s="989" t="s">
        <v>52</v>
      </c>
      <c r="D70" s="990"/>
      <c r="E70" s="59">
        <v>0</v>
      </c>
      <c r="F70" s="932">
        <f>IF($A$200=3,IF($E$55&lt;7,0,$E70))</f>
        <v>0</v>
      </c>
      <c r="G70" s="934">
        <f>IF($A$200=3,IF($E$55&lt;7,0,40))</f>
        <v>0</v>
      </c>
      <c r="H70" s="936">
        <f>IF($A$200=3,IF($E$55&lt;7,0,$E71))</f>
        <v>0</v>
      </c>
      <c r="I70" s="938">
        <f>IF($A$200=3,IF($E$55&gt;=7,G70-IF(H70="No",0,5),0))</f>
        <v>0</v>
      </c>
      <c r="J70" s="1088"/>
      <c r="K70" s="1090"/>
      <c r="L70" s="1092"/>
      <c r="M70" s="1092"/>
      <c r="N70" s="1094"/>
      <c r="O70" s="1094"/>
      <c r="P70" s="1094"/>
      <c r="Q70" s="1094"/>
      <c r="R70" s="1094"/>
    </row>
    <row r="71" spans="2:18" ht="13.3" thickTop="1" thickBot="1">
      <c r="B71" s="929"/>
      <c r="C71" s="985" t="s">
        <v>151</v>
      </c>
      <c r="D71" s="986"/>
      <c r="E71" s="391" t="s">
        <v>588</v>
      </c>
      <c r="F71" s="933"/>
      <c r="G71" s="935"/>
      <c r="H71" s="937"/>
      <c r="I71" s="939"/>
      <c r="J71" s="1088"/>
      <c r="K71" s="1090"/>
      <c r="L71" s="1092"/>
      <c r="M71" s="1092"/>
      <c r="N71" s="1094"/>
      <c r="O71" s="1094"/>
      <c r="P71" s="1094"/>
      <c r="Q71" s="1094"/>
      <c r="R71" s="1094"/>
    </row>
    <row r="72" spans="2:18" ht="14.25" customHeight="1" thickTop="1" thickBot="1">
      <c r="B72" s="928" t="s">
        <v>552</v>
      </c>
      <c r="C72" s="930" t="s">
        <v>52</v>
      </c>
      <c r="D72" s="931"/>
      <c r="E72" s="59">
        <v>0</v>
      </c>
      <c r="F72" s="932">
        <f>IF($A$200=3,IF($E$55&lt;8,0,$E72))</f>
        <v>0</v>
      </c>
      <c r="G72" s="934">
        <f>IF($A$200=3,IF($E$55&lt;8,0,40))</f>
        <v>0</v>
      </c>
      <c r="H72" s="936">
        <f>IF($A$200=3,IF($E$55&lt;8,0,$E73))</f>
        <v>0</v>
      </c>
      <c r="I72" s="938">
        <f>IF($A$200=3,IF($E$55&gt;=8,G72-IF(H72="No",0,5),0))</f>
        <v>0</v>
      </c>
      <c r="J72" s="1088"/>
      <c r="K72" s="1090"/>
      <c r="L72" s="1092"/>
      <c r="M72" s="1092"/>
      <c r="N72" s="1094"/>
      <c r="O72" s="1094"/>
      <c r="P72" s="1094"/>
      <c r="Q72" s="1094"/>
      <c r="R72" s="1094"/>
    </row>
    <row r="73" spans="2:18" ht="13.3" thickTop="1" thickBot="1">
      <c r="B73" s="928"/>
      <c r="C73" s="1099" t="s">
        <v>151</v>
      </c>
      <c r="D73" s="1100"/>
      <c r="E73" s="391" t="s">
        <v>588</v>
      </c>
      <c r="F73" s="933"/>
      <c r="G73" s="935"/>
      <c r="H73" s="937"/>
      <c r="I73" s="939"/>
      <c r="J73" s="1089"/>
      <c r="K73" s="1091"/>
      <c r="L73" s="1093"/>
      <c r="M73" s="1093"/>
      <c r="N73" s="1095"/>
      <c r="O73" s="1095"/>
      <c r="P73" s="1095"/>
      <c r="Q73" s="1095"/>
      <c r="R73" s="1095"/>
    </row>
    <row r="74" spans="2:18" ht="12.9" thickBot="1">
      <c r="B74" s="979" t="s">
        <v>192</v>
      </c>
      <c r="C74" s="980"/>
      <c r="D74" s="980"/>
      <c r="E74" s="981"/>
      <c r="F74" s="377">
        <f>SUM(F41:F73)</f>
        <v>2</v>
      </c>
      <c r="G74" s="377">
        <f>SUM(G41:G73)</f>
        <v>40</v>
      </c>
      <c r="H74" s="378">
        <f>G74-I74</f>
        <v>5</v>
      </c>
      <c r="I74" s="550">
        <f>SUM(I41:I73)</f>
        <v>35</v>
      </c>
      <c r="J74" s="376">
        <f>$I74*18000/1000</f>
        <v>630</v>
      </c>
      <c r="K74" s="376">
        <f>$I74*12000/1000</f>
        <v>420</v>
      </c>
      <c r="L74" s="376">
        <f>$I74*6000/1000</f>
        <v>210</v>
      </c>
      <c r="M74" s="376">
        <f>$I74*2500/1000</f>
        <v>87.5</v>
      </c>
      <c r="N74" s="95">
        <f>$I74*1500/1000</f>
        <v>52.5</v>
      </c>
      <c r="O74" s="95">
        <f>$I74*800/1000</f>
        <v>28</v>
      </c>
      <c r="P74" s="95">
        <f>$I74*400/1000</f>
        <v>14</v>
      </c>
      <c r="Q74" s="95">
        <f>$I74*200/1000</f>
        <v>7</v>
      </c>
      <c r="R74" s="95">
        <f>$I74*100/1000</f>
        <v>3.5</v>
      </c>
    </row>
    <row r="76" spans="2:18">
      <c r="B76" s="544" t="s">
        <v>647</v>
      </c>
    </row>
    <row r="78" spans="2:18">
      <c r="I78" s="4"/>
    </row>
    <row r="79" spans="2:18">
      <c r="I79" s="4"/>
    </row>
    <row r="80" spans="2:18">
      <c r="I80" s="4"/>
    </row>
    <row r="81" spans="9:9">
      <c r="I81" s="4"/>
    </row>
    <row r="82" spans="9:9">
      <c r="I82" s="4"/>
    </row>
    <row r="83" spans="9:9">
      <c r="I83" s="4"/>
    </row>
    <row r="84" spans="9:9">
      <c r="I84" s="4"/>
    </row>
    <row r="85" spans="9:9">
      <c r="I85" s="4"/>
    </row>
    <row r="86" spans="9:9">
      <c r="I86" s="4"/>
    </row>
    <row r="87" spans="9:9">
      <c r="I87" s="4"/>
    </row>
    <row r="88" spans="9:9">
      <c r="I88" s="4"/>
    </row>
    <row r="89" spans="9:9">
      <c r="I89" s="4"/>
    </row>
    <row r="90" spans="9:9">
      <c r="I90" s="4"/>
    </row>
    <row r="91" spans="9:9">
      <c r="I91" s="136"/>
    </row>
    <row r="92" spans="9:9">
      <c r="I92" s="4"/>
    </row>
    <row r="93" spans="9:9">
      <c r="I93" s="393"/>
    </row>
    <row r="94" spans="9:9">
      <c r="I94" s="4"/>
    </row>
    <row r="95" spans="9:9">
      <c r="I95" s="4"/>
    </row>
    <row r="200" spans="1:1">
      <c r="A200" s="231">
        <f>Names!M317</f>
        <v>3</v>
      </c>
    </row>
  </sheetData>
  <sheetProtection algorithmName="SHA-512" hashValue="w0ffwqe7RcBEb9PDTKojtWDKapnhqgAHhiRbGV0YthRKHgPYczrhSIu/U+Ca/CZjf38hoaRTSVUbMLSoSR/ceQ==" saltValue="ZOxFHs5qR5c6tx874vMRzQ==" spinCount="100000" sheet="1" objects="1" scenarios="1"/>
  <mergeCells count="194">
    <mergeCell ref="M41:M73"/>
    <mergeCell ref="N41:R73"/>
    <mergeCell ref="C66:D66"/>
    <mergeCell ref="F66:F67"/>
    <mergeCell ref="G66:G67"/>
    <mergeCell ref="H66:H67"/>
    <mergeCell ref="I66:I67"/>
    <mergeCell ref="C67:D67"/>
    <mergeCell ref="C68:D68"/>
    <mergeCell ref="F68:F69"/>
    <mergeCell ref="G68:G69"/>
    <mergeCell ref="H68:H69"/>
    <mergeCell ref="I68:I69"/>
    <mergeCell ref="H49:H50"/>
    <mergeCell ref="I49:I50"/>
    <mergeCell ref="I55:I57"/>
    <mergeCell ref="C49:D49"/>
    <mergeCell ref="C50:D50"/>
    <mergeCell ref="G64:G65"/>
    <mergeCell ref="H64:H65"/>
    <mergeCell ref="I64:I65"/>
    <mergeCell ref="C65:D65"/>
    <mergeCell ref="I72:I73"/>
    <mergeCell ref="C73:D73"/>
    <mergeCell ref="J41:J73"/>
    <mergeCell ref="K41:K73"/>
    <mergeCell ref="L41:L73"/>
    <mergeCell ref="G45:G46"/>
    <mergeCell ref="H45:H46"/>
    <mergeCell ref="I45:I46"/>
    <mergeCell ref="C46:D46"/>
    <mergeCell ref="B70:B71"/>
    <mergeCell ref="C70:D70"/>
    <mergeCell ref="F70:F71"/>
    <mergeCell ref="G70:G71"/>
    <mergeCell ref="H70:H71"/>
    <mergeCell ref="I70:I71"/>
    <mergeCell ref="C71:D71"/>
    <mergeCell ref="B68:B69"/>
    <mergeCell ref="B47:B48"/>
    <mergeCell ref="C47:D47"/>
    <mergeCell ref="F47:F48"/>
    <mergeCell ref="G47:G48"/>
    <mergeCell ref="H47:H48"/>
    <mergeCell ref="I47:I48"/>
    <mergeCell ref="C48:D48"/>
    <mergeCell ref="B66:B67"/>
    <mergeCell ref="B49:B50"/>
    <mergeCell ref="F49:F50"/>
    <mergeCell ref="G49:G50"/>
    <mergeCell ref="F64:F65"/>
    <mergeCell ref="J4:Q5"/>
    <mergeCell ref="J9:Q10"/>
    <mergeCell ref="J14:Q14"/>
    <mergeCell ref="B26:B27"/>
    <mergeCell ref="C26:D26"/>
    <mergeCell ref="C27:D27"/>
    <mergeCell ref="B24:B25"/>
    <mergeCell ref="C24:D24"/>
    <mergeCell ref="C25:D25"/>
    <mergeCell ref="B20:B23"/>
    <mergeCell ref="C22:D22"/>
    <mergeCell ref="F20:F23"/>
    <mergeCell ref="F9:F11"/>
    <mergeCell ref="G9:I10"/>
    <mergeCell ref="G16:G17"/>
    <mergeCell ref="H16:H17"/>
    <mergeCell ref="I16:I17"/>
    <mergeCell ref="B9:E9"/>
    <mergeCell ref="B4:E4"/>
    <mergeCell ref="B14:E15"/>
    <mergeCell ref="C5:D5"/>
    <mergeCell ref="B12:E12"/>
    <mergeCell ref="B7:E7"/>
    <mergeCell ref="C10:D10"/>
    <mergeCell ref="C11:D11"/>
    <mergeCell ref="C16:D16"/>
    <mergeCell ref="H26:H27"/>
    <mergeCell ref="H20:H23"/>
    <mergeCell ref="I26:I27"/>
    <mergeCell ref="F16:F17"/>
    <mergeCell ref="F24:F25"/>
    <mergeCell ref="G20:G23"/>
    <mergeCell ref="G18:G19"/>
    <mergeCell ref="C17:D17"/>
    <mergeCell ref="F18:F19"/>
    <mergeCell ref="B16:B17"/>
    <mergeCell ref="B33:E33"/>
    <mergeCell ref="C31:D31"/>
    <mergeCell ref="C32:D32"/>
    <mergeCell ref="C23:D23"/>
    <mergeCell ref="B30:E30"/>
    <mergeCell ref="B28:E28"/>
    <mergeCell ref="C20:D20"/>
    <mergeCell ref="C21:D21"/>
    <mergeCell ref="C18:D18"/>
    <mergeCell ref="C19:D19"/>
    <mergeCell ref="B18:B19"/>
    <mergeCell ref="P16:P27"/>
    <mergeCell ref="F4:F6"/>
    <mergeCell ref="G4:I5"/>
    <mergeCell ref="F30:F32"/>
    <mergeCell ref="G30:I31"/>
    <mergeCell ref="F14:F15"/>
    <mergeCell ref="G14:I14"/>
    <mergeCell ref="H18:H19"/>
    <mergeCell ref="G24:G25"/>
    <mergeCell ref="H24:H25"/>
    <mergeCell ref="I24:I25"/>
    <mergeCell ref="J30:O30"/>
    <mergeCell ref="J31:L31"/>
    <mergeCell ref="M31:O31"/>
    <mergeCell ref="M16:M27"/>
    <mergeCell ref="K16:K27"/>
    <mergeCell ref="L16:L27"/>
    <mergeCell ref="O16:O27"/>
    <mergeCell ref="N16:N27"/>
    <mergeCell ref="I20:I23"/>
    <mergeCell ref="J16:J27"/>
    <mergeCell ref="I18:I19"/>
    <mergeCell ref="F26:F27"/>
    <mergeCell ref="G26:G27"/>
    <mergeCell ref="B74:E74"/>
    <mergeCell ref="G58:G59"/>
    <mergeCell ref="H58:H59"/>
    <mergeCell ref="I58:I59"/>
    <mergeCell ref="C59:D59"/>
    <mergeCell ref="B62:B63"/>
    <mergeCell ref="F62:F63"/>
    <mergeCell ref="G62:G63"/>
    <mergeCell ref="H62:H63"/>
    <mergeCell ref="I62:I63"/>
    <mergeCell ref="C63:D63"/>
    <mergeCell ref="C61:D61"/>
    <mergeCell ref="B58:B59"/>
    <mergeCell ref="C58:D58"/>
    <mergeCell ref="F58:F59"/>
    <mergeCell ref="C62:D62"/>
    <mergeCell ref="B64:B65"/>
    <mergeCell ref="C64:D64"/>
    <mergeCell ref="C69:D69"/>
    <mergeCell ref="B72:B73"/>
    <mergeCell ref="C72:D72"/>
    <mergeCell ref="F72:F73"/>
    <mergeCell ref="G72:G73"/>
    <mergeCell ref="H72:H73"/>
    <mergeCell ref="B60:B61"/>
    <mergeCell ref="C60:D60"/>
    <mergeCell ref="F60:F61"/>
    <mergeCell ref="G60:G61"/>
    <mergeCell ref="H60:H61"/>
    <mergeCell ref="I60:I61"/>
    <mergeCell ref="C56:D56"/>
    <mergeCell ref="C57:D57"/>
    <mergeCell ref="B39:E40"/>
    <mergeCell ref="F39:F40"/>
    <mergeCell ref="B55:B57"/>
    <mergeCell ref="C55:D55"/>
    <mergeCell ref="F55:F57"/>
    <mergeCell ref="G55:G57"/>
    <mergeCell ref="H55:H57"/>
    <mergeCell ref="G39:I39"/>
    <mergeCell ref="B41:B42"/>
    <mergeCell ref="C41:D41"/>
    <mergeCell ref="F41:F42"/>
    <mergeCell ref="G41:G42"/>
    <mergeCell ref="H41:H42"/>
    <mergeCell ref="I41:I42"/>
    <mergeCell ref="C42:D42"/>
    <mergeCell ref="B43:B44"/>
    <mergeCell ref="B51:B52"/>
    <mergeCell ref="C51:D51"/>
    <mergeCell ref="F51:F52"/>
    <mergeCell ref="G51:G52"/>
    <mergeCell ref="H51:H52"/>
    <mergeCell ref="I51:I52"/>
    <mergeCell ref="C52:D52"/>
    <mergeCell ref="J39:R39"/>
    <mergeCell ref="B53:B54"/>
    <mergeCell ref="C53:D53"/>
    <mergeCell ref="F53:F54"/>
    <mergeCell ref="G53:G54"/>
    <mergeCell ref="H53:H54"/>
    <mergeCell ref="I53:I54"/>
    <mergeCell ref="C54:D54"/>
    <mergeCell ref="C43:D43"/>
    <mergeCell ref="F43:F44"/>
    <mergeCell ref="G43:G44"/>
    <mergeCell ref="H43:H44"/>
    <mergeCell ref="I43:I44"/>
    <mergeCell ref="C44:D44"/>
    <mergeCell ref="B45:B46"/>
    <mergeCell ref="C45:D45"/>
    <mergeCell ref="F45:F46"/>
  </mergeCells>
  <phoneticPr fontId="2" type="noConversion"/>
  <conditionalFormatting sqref="B55:B57 F55:F57">
    <cfRule type="expression" dxfId="37" priority="19">
      <formula>E55=0</formula>
    </cfRule>
  </conditionalFormatting>
  <conditionalFormatting sqref="B24:E25">
    <cfRule type="expression" dxfId="36" priority="64" stopIfTrue="1">
      <formula>$E$20&lt;1</formula>
    </cfRule>
  </conditionalFormatting>
  <conditionalFormatting sqref="B39:F40">
    <cfRule type="expression" dxfId="35" priority="18">
      <formula>E55=0</formula>
    </cfRule>
  </conditionalFormatting>
  <conditionalFormatting sqref="B41:I42">
    <cfRule type="expression" dxfId="34" priority="14" stopIfTrue="1">
      <formula>NOT(AND($A$200=3,$E$55&gt;14))</formula>
    </cfRule>
  </conditionalFormatting>
  <conditionalFormatting sqref="B43:I44">
    <cfRule type="expression" dxfId="33" priority="12" stopIfTrue="1">
      <formula>NOT(AND($A$200=3,$E$55&gt;13))</formula>
    </cfRule>
  </conditionalFormatting>
  <conditionalFormatting sqref="B45:I46">
    <cfRule type="expression" dxfId="32" priority="10" stopIfTrue="1">
      <formula>NOT(AND($A$200=3,$E$55&gt;12))</formula>
    </cfRule>
  </conditionalFormatting>
  <conditionalFormatting sqref="B47:I48">
    <cfRule type="expression" dxfId="31" priority="8" stopIfTrue="1">
      <formula>NOT(AND($A$200=3,$E$55&gt;11))</formula>
    </cfRule>
  </conditionalFormatting>
  <conditionalFormatting sqref="B49:I50">
    <cfRule type="expression" dxfId="30" priority="7" stopIfTrue="1">
      <formula>NOT(OR(AND($A$200=3,$E$55&gt;10),AND($A$200&lt;=2,$E$55&gt;5)))</formula>
    </cfRule>
  </conditionalFormatting>
  <conditionalFormatting sqref="B51:I52">
    <cfRule type="expression" dxfId="29" priority="32" stopIfTrue="1">
      <formula>NOT(OR(AND($A$200=3,$E$55&gt;9),AND($A$200&lt;=2,$E$55&gt;4)))</formula>
    </cfRule>
  </conditionalFormatting>
  <conditionalFormatting sqref="B53:I54">
    <cfRule type="expression" dxfId="28" priority="29" stopIfTrue="1">
      <formula>NOT(OR(AND($A$200=3,$E$55&gt;8),AND($A$200&lt;=2,$E$55&gt;3)))</formula>
    </cfRule>
  </conditionalFormatting>
  <conditionalFormatting sqref="B64:I65">
    <cfRule type="expression" dxfId="27" priority="6" stopIfTrue="1">
      <formula>NOT(AND($A$200=3,$E$55&gt;3))</formula>
    </cfRule>
  </conditionalFormatting>
  <conditionalFormatting sqref="B66:I67">
    <cfRule type="expression" dxfId="26" priority="5" stopIfTrue="1">
      <formula>NOT(AND($A$200=3,$E$55&gt;4))</formula>
    </cfRule>
  </conditionalFormatting>
  <conditionalFormatting sqref="B68:I69">
    <cfRule type="expression" dxfId="25" priority="4" stopIfTrue="1">
      <formula>NOT(AND($A$200=3,$E$55&gt;5))</formula>
    </cfRule>
  </conditionalFormatting>
  <conditionalFormatting sqref="B70:I71">
    <cfRule type="expression" dxfId="24" priority="1" stopIfTrue="1">
      <formula>NOT(AND($A$200=3,$E$55&gt;6))</formula>
    </cfRule>
  </conditionalFormatting>
  <conditionalFormatting sqref="B72:I73">
    <cfRule type="expression" dxfId="23" priority="3" stopIfTrue="1">
      <formula>NOT(AND($A$200=3,$E$55&gt;7))</formula>
    </cfRule>
  </conditionalFormatting>
  <conditionalFormatting sqref="E16">
    <cfRule type="expression" dxfId="22" priority="73" stopIfTrue="1">
      <formula>$E$20&lt;4</formula>
    </cfRule>
  </conditionalFormatting>
  <conditionalFormatting sqref="E18 I18 B18:D19">
    <cfRule type="expression" dxfId="21" priority="65" stopIfTrue="1">
      <formula>$E$20&lt;3</formula>
    </cfRule>
  </conditionalFormatting>
  <conditionalFormatting sqref="E19">
    <cfRule type="expression" dxfId="20" priority="67" stopIfTrue="1">
      <formula>$E$20&lt;3</formula>
    </cfRule>
  </conditionalFormatting>
  <conditionalFormatting sqref="E21">
    <cfRule type="expression" dxfId="19" priority="63" stopIfTrue="1">
      <formula>ISERROR(MATCH($E$21,INDIRECT(indirectCODTS3310),FALSE))</formula>
    </cfRule>
  </conditionalFormatting>
  <conditionalFormatting sqref="E23">
    <cfRule type="expression" dxfId="18" priority="62" stopIfTrue="1">
      <formula>ISERROR(MATCH($E$23,INDIRECT(indirectIOTS3310),FALSE))</formula>
    </cfRule>
  </conditionalFormatting>
  <conditionalFormatting sqref="E26 B26:D27 F26:I27">
    <cfRule type="expression" dxfId="17" priority="61" stopIfTrue="1">
      <formula>$E$20&lt;2</formula>
    </cfRule>
  </conditionalFormatting>
  <conditionalFormatting sqref="E27">
    <cfRule type="expression" dxfId="16" priority="74" stopIfTrue="1">
      <formula>$E$20&lt;2</formula>
    </cfRule>
  </conditionalFormatting>
  <conditionalFormatting sqref="E58">
    <cfRule type="expression" dxfId="15" priority="28" stopIfTrue="1">
      <formula>$E$55&lt;1</formula>
    </cfRule>
  </conditionalFormatting>
  <conditionalFormatting sqref="E60">
    <cfRule type="expression" dxfId="14" priority="25" stopIfTrue="1">
      <formula>$E$55&lt;2</formula>
    </cfRule>
  </conditionalFormatting>
  <conditionalFormatting sqref="E62">
    <cfRule type="expression" dxfId="13" priority="22" stopIfTrue="1">
      <formula>$E$55&lt;3</formula>
    </cfRule>
  </conditionalFormatting>
  <conditionalFormatting sqref="F16 I16 B16:D17 E17">
    <cfRule type="expression" dxfId="12" priority="66" stopIfTrue="1">
      <formula>$E$20&lt;4</formula>
    </cfRule>
  </conditionalFormatting>
  <conditionalFormatting sqref="F18:F19">
    <cfRule type="expression" dxfId="11" priority="68" stopIfTrue="1">
      <formula>$E$20&lt;3</formula>
    </cfRule>
  </conditionalFormatting>
  <conditionalFormatting sqref="F58 I58 B58:D59 E59">
    <cfRule type="expression" dxfId="10" priority="26" stopIfTrue="1">
      <formula>$E$55&lt;1</formula>
    </cfRule>
  </conditionalFormatting>
  <conditionalFormatting sqref="F60 I60 B60:D61 E61">
    <cfRule type="expression" dxfId="9" priority="23" stopIfTrue="1">
      <formula>$E$55&lt;2</formula>
    </cfRule>
  </conditionalFormatting>
  <conditionalFormatting sqref="F24:H25">
    <cfRule type="expression" dxfId="8" priority="71" stopIfTrue="1">
      <formula>$E$20&lt;1</formula>
    </cfRule>
  </conditionalFormatting>
  <conditionalFormatting sqref="F62:I62 B62:E63">
    <cfRule type="expression" dxfId="7" priority="20" stopIfTrue="1">
      <formula>$E$55&lt;3</formula>
    </cfRule>
  </conditionalFormatting>
  <conditionalFormatting sqref="G16:H17">
    <cfRule type="expression" dxfId="6" priority="69" stopIfTrue="1">
      <formula>$E$20&lt;4</formula>
    </cfRule>
  </conditionalFormatting>
  <conditionalFormatting sqref="G18:H19">
    <cfRule type="expression" dxfId="5" priority="70" stopIfTrue="1">
      <formula>$E$20&lt;3</formula>
    </cfRule>
  </conditionalFormatting>
  <conditionalFormatting sqref="G58:H59">
    <cfRule type="expression" dxfId="4" priority="27" stopIfTrue="1">
      <formula>$E$55&lt;1</formula>
    </cfRule>
  </conditionalFormatting>
  <conditionalFormatting sqref="G60:H61">
    <cfRule type="expression" dxfId="3" priority="24" stopIfTrue="1">
      <formula>$E$55&lt;2</formula>
    </cfRule>
  </conditionalFormatting>
  <conditionalFormatting sqref="G39:I40">
    <cfRule type="expression" dxfId="2" priority="280">
      <formula>K55=0</formula>
    </cfRule>
  </conditionalFormatting>
  <conditionalFormatting sqref="G55:I57">
    <cfRule type="expression" dxfId="1" priority="278">
      <formula>K55=0</formula>
    </cfRule>
  </conditionalFormatting>
  <conditionalFormatting sqref="I24:I25">
    <cfRule type="expression" dxfId="0" priority="72" stopIfTrue="1">
      <formula>$E$20&lt;1</formula>
    </cfRule>
  </conditionalFormatting>
  <dataValidations count="14">
    <dataValidation type="list" allowBlank="1" showInputMessage="1" showErrorMessage="1" sqref="E6" xr:uid="{00000000-0002-0000-0300-000000000000}">
      <formula1>NUM0TO1</formula1>
    </dataValidation>
    <dataValidation type="list" allowBlank="1" showInputMessage="1" showErrorMessage="1" sqref="E26 E16 E18 E20 E24" xr:uid="{00000000-0002-0000-0300-000001000000}">
      <formula1>NUM0TO4</formula1>
    </dataValidation>
    <dataValidation type="list" allowBlank="1" showInputMessage="1" showErrorMessage="1" sqref="E31 E22" xr:uid="{00000000-0002-0000-0300-000002000000}">
      <formula1>NUM1TO2</formula1>
    </dataValidation>
    <dataValidation type="list" allowBlank="1" showInputMessage="1" showErrorMessage="1" sqref="E23" xr:uid="{00000000-0002-0000-0300-000003000000}">
      <formula1>INDIRECT(indirectIOTS3310)</formula1>
    </dataValidation>
    <dataValidation type="list" allowBlank="1" showInputMessage="1" showErrorMessage="1" sqref="E27 E17 E19 E25" xr:uid="{00000000-0002-0000-0300-000004000000}">
      <formula1>IOslotsEXP</formula1>
    </dataValidation>
    <dataValidation type="list" allowBlank="1" showInputMessage="1" showErrorMessage="1" sqref="E21" xr:uid="{00000000-0002-0000-0300-000005000000}">
      <formula1>INDIRECT(indirectCODTS3310)</formula1>
    </dataValidation>
    <dataValidation type="list" allowBlank="1" showInputMessage="1" showErrorMessage="1" sqref="E32 E11" xr:uid="{00000000-0002-0000-0300-000006000000}">
      <formula1>NUM0OR3</formula1>
    </dataValidation>
    <dataValidation type="list" allowBlank="1" showInputMessage="1" showErrorMessage="1" sqref="E5" xr:uid="{00000000-0002-0000-0300-000007000000}">
      <formula1>NUMDR3310</formula1>
    </dataValidation>
    <dataValidation type="list" allowBlank="1" showInputMessage="1" showErrorMessage="1" sqref="E10" xr:uid="{00000000-0002-0000-0300-000008000000}">
      <formula1>NUMDR3320</formula1>
    </dataValidation>
    <dataValidation type="list" allowBlank="1" showInputMessage="1" showErrorMessage="1" sqref="E55" xr:uid="{00000000-0002-0000-0300-000009000000}">
      <formula1>NUM0TO6</formula1>
    </dataValidation>
    <dataValidation type="list" allowBlank="1" showInputMessage="1" showErrorMessage="1" sqref="E50 E52 E54 E57 E59 E61 E48 E42 E44 E46 E63 E65 E67 E69 E73 E71" xr:uid="{00000000-0002-0000-0300-00000A000000}">
      <formula1>indirectIOTS4300</formula1>
    </dataValidation>
    <dataValidation type="list" allowBlank="1" showInputMessage="1" showErrorMessage="1" sqref="E56" xr:uid="{00000000-0002-0000-0300-00000B000000}">
      <formula1>NUM1TO3</formula1>
    </dataValidation>
    <dataValidation type="list" allowBlank="1" showInputMessage="1" showErrorMessage="1" sqref="E49 E51 E53 E58 E60 E62 E41 E43 E45 E47 E64 E66 E68 E72 E70" xr:uid="{00000000-0002-0000-0300-00000C000000}">
      <formula1>NUM0TO3</formula1>
    </dataValidation>
    <dataValidation type="list" allowBlank="1" showInputMessage="1" showErrorMessage="1" sqref="B39:E40" xr:uid="{00000000-0002-0000-0300-00000D000000}">
      <formula1>"TS4300 (3555-L3A/E3A) R1/R2,TS4300 (3555-L3A/E3A) &gt;R2.1 max. 21U, TS4300 (3555-L3A/E3A) R6.1 21U-48U"</formula1>
    </dataValidation>
  </dataValidations>
  <hyperlinks>
    <hyperlink ref="B76" r:id="rId1" xr:uid="{83D3163A-5AA9-41BD-8D1B-08E1995453A2}"/>
  </hyperlinks>
  <pageMargins left="0.75" right="0.75" top="1" bottom="1" header="0.5" footer="0.5"/>
  <pageSetup orientation="portrait" r:id="rId2"/>
  <headerFooter alignWithMargins="0"/>
  <ignoredErrors>
    <ignoredError sqref="H74 G66:H66" formula="1"/>
  </ignoredError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V78"/>
  <sheetViews>
    <sheetView workbookViewId="0"/>
  </sheetViews>
  <sheetFormatPr baseColWidth="10" defaultColWidth="8.84375" defaultRowHeight="12.45"/>
  <cols>
    <col min="4" max="4" width="13" customWidth="1"/>
    <col min="17" max="17" width="11.07421875" customWidth="1"/>
  </cols>
  <sheetData>
    <row r="1" spans="1:22" ht="12.9" thickBot="1">
      <c r="A1" s="10"/>
      <c r="B1" s="10"/>
      <c r="C1" s="10"/>
      <c r="D1" s="10"/>
      <c r="E1" s="10"/>
      <c r="F1" s="10"/>
      <c r="G1" s="10"/>
      <c r="H1" s="10"/>
      <c r="I1" s="10"/>
      <c r="J1" s="10"/>
      <c r="K1" s="10"/>
      <c r="L1" s="10"/>
      <c r="M1" s="10"/>
      <c r="N1" s="10"/>
      <c r="O1" s="10"/>
      <c r="P1" s="10"/>
      <c r="Q1" s="10"/>
      <c r="R1" s="10"/>
      <c r="S1" s="10"/>
      <c r="T1" s="10"/>
      <c r="U1" s="10"/>
      <c r="V1" s="10"/>
    </row>
    <row r="2" spans="1:22" ht="13.3" thickBot="1">
      <c r="A2" s="10"/>
      <c r="B2" s="1180" t="s">
        <v>14</v>
      </c>
      <c r="C2" s="1181"/>
      <c r="D2" s="10"/>
      <c r="E2" s="10"/>
      <c r="F2" s="10"/>
      <c r="G2" s="10"/>
      <c r="H2" s="10"/>
      <c r="I2" s="10"/>
      <c r="J2" s="10"/>
      <c r="K2" s="10"/>
      <c r="L2" s="10"/>
      <c r="M2" s="10"/>
      <c r="N2" s="10"/>
      <c r="O2" s="10"/>
      <c r="P2" s="10"/>
      <c r="Q2" s="424" t="s">
        <v>461</v>
      </c>
      <c r="R2" s="10"/>
      <c r="S2" s="10"/>
      <c r="T2" s="10"/>
      <c r="U2" s="10"/>
      <c r="V2" s="10"/>
    </row>
    <row r="3" spans="1:22" ht="12.9" thickBot="1">
      <c r="A3" s="10"/>
      <c r="B3" s="1191" t="s">
        <v>267</v>
      </c>
      <c r="C3" s="1192"/>
      <c r="D3" s="1192"/>
      <c r="E3" s="1187" t="s">
        <v>49</v>
      </c>
      <c r="F3" s="1188"/>
      <c r="G3" s="1105" t="s">
        <v>48</v>
      </c>
      <c r="H3" s="1112" t="s">
        <v>47</v>
      </c>
      <c r="I3" s="1113"/>
      <c r="J3" s="1113"/>
      <c r="K3" s="1113"/>
      <c r="L3" s="1113"/>
      <c r="M3" s="1113"/>
      <c r="N3" s="1113"/>
      <c r="O3" s="1113"/>
      <c r="P3" s="1114"/>
      <c r="Q3" s="10" t="s">
        <v>564</v>
      </c>
      <c r="R3" s="425" t="s">
        <v>562</v>
      </c>
      <c r="S3" s="10"/>
      <c r="T3" s="10"/>
      <c r="U3" s="10"/>
      <c r="V3" s="10"/>
    </row>
    <row r="4" spans="1:22" ht="12.9" thickBot="1">
      <c r="A4" s="10"/>
      <c r="B4" s="1189"/>
      <c r="C4" s="1193"/>
      <c r="D4" s="1193"/>
      <c r="E4" s="1189"/>
      <c r="F4" s="1190"/>
      <c r="G4" s="1106"/>
      <c r="H4" s="426" t="s">
        <v>621</v>
      </c>
      <c r="I4" s="426" t="s">
        <v>561</v>
      </c>
      <c r="J4" s="426" t="s">
        <v>329</v>
      </c>
      <c r="K4" s="426" t="s">
        <v>328</v>
      </c>
      <c r="L4" s="426" t="s">
        <v>280</v>
      </c>
      <c r="M4" s="427" t="s">
        <v>262</v>
      </c>
      <c r="N4" s="428" t="s">
        <v>263</v>
      </c>
      <c r="O4" s="428" t="s">
        <v>264</v>
      </c>
      <c r="P4" s="429" t="s">
        <v>265</v>
      </c>
      <c r="Q4" s="10" t="s">
        <v>564</v>
      </c>
      <c r="R4" s="425" t="s">
        <v>563</v>
      </c>
      <c r="S4" s="10"/>
      <c r="T4" s="10"/>
      <c r="U4" s="10"/>
      <c r="V4" s="10"/>
    </row>
    <row r="5" spans="1:22" ht="13.3" thickBot="1">
      <c r="A5" s="10"/>
      <c r="B5" s="1110" t="s">
        <v>619</v>
      </c>
      <c r="C5" s="1111"/>
      <c r="D5" s="1111"/>
      <c r="E5" s="1101" t="s">
        <v>618</v>
      </c>
      <c r="F5" s="1102"/>
      <c r="G5" s="430">
        <v>18000</v>
      </c>
      <c r="H5" s="431" t="s">
        <v>279</v>
      </c>
      <c r="I5" s="432" t="s">
        <v>41</v>
      </c>
      <c r="J5" s="432" t="s">
        <v>41</v>
      </c>
      <c r="K5" s="432" t="s">
        <v>41</v>
      </c>
      <c r="L5" s="432" t="s">
        <v>41</v>
      </c>
      <c r="M5" s="432" t="s">
        <v>41</v>
      </c>
      <c r="N5" s="432" t="s">
        <v>41</v>
      </c>
      <c r="O5" s="432" t="s">
        <v>41</v>
      </c>
      <c r="P5" s="432" t="s">
        <v>41</v>
      </c>
      <c r="Q5" s="10"/>
      <c r="R5" s="425"/>
      <c r="S5" s="10"/>
      <c r="T5" s="10"/>
      <c r="U5" s="10"/>
      <c r="V5" s="10"/>
    </row>
    <row r="6" spans="1:22" ht="13.3" thickBot="1">
      <c r="A6" s="10"/>
      <c r="B6" s="1107" t="s">
        <v>565</v>
      </c>
      <c r="C6" s="1108"/>
      <c r="D6" s="1109"/>
      <c r="E6" s="1101" t="s">
        <v>560</v>
      </c>
      <c r="F6" s="1102"/>
      <c r="G6" s="430">
        <v>12000</v>
      </c>
      <c r="H6" s="431" t="s">
        <v>279</v>
      </c>
      <c r="I6" s="431" t="s">
        <v>279</v>
      </c>
      <c r="J6" s="432" t="s">
        <v>41</v>
      </c>
      <c r="K6" s="432" t="s">
        <v>41</v>
      </c>
      <c r="L6" s="432" t="s">
        <v>41</v>
      </c>
      <c r="M6" s="432" t="s">
        <v>41</v>
      </c>
      <c r="N6" s="432" t="s">
        <v>41</v>
      </c>
      <c r="O6" s="432" t="s">
        <v>41</v>
      </c>
      <c r="P6" s="432" t="s">
        <v>41</v>
      </c>
      <c r="Q6" s="10"/>
      <c r="R6" s="10"/>
      <c r="S6" s="10"/>
      <c r="T6" s="10"/>
      <c r="U6" s="10"/>
      <c r="V6" s="10"/>
    </row>
    <row r="7" spans="1:22" ht="13.3" thickBot="1">
      <c r="A7" s="10"/>
      <c r="B7" s="1103" t="s">
        <v>326</v>
      </c>
      <c r="C7" s="1104"/>
      <c r="D7" s="1104"/>
      <c r="E7" s="1101" t="s">
        <v>574</v>
      </c>
      <c r="F7" s="1102"/>
      <c r="G7" s="430">
        <v>9000</v>
      </c>
      <c r="H7" s="433" t="s">
        <v>41</v>
      </c>
      <c r="I7" s="431" t="s">
        <v>279</v>
      </c>
      <c r="J7" s="432" t="s">
        <v>41</v>
      </c>
      <c r="K7" s="432" t="s">
        <v>41</v>
      </c>
      <c r="L7" s="432" t="s">
        <v>41</v>
      </c>
      <c r="M7" s="432" t="s">
        <v>41</v>
      </c>
      <c r="N7" s="432" t="s">
        <v>41</v>
      </c>
      <c r="O7" s="432" t="s">
        <v>41</v>
      </c>
      <c r="P7" s="432" t="s">
        <v>41</v>
      </c>
      <c r="Q7" s="10"/>
      <c r="R7" s="425"/>
      <c r="S7" s="10"/>
      <c r="T7" s="10"/>
      <c r="U7" s="10"/>
      <c r="V7" s="10"/>
    </row>
    <row r="8" spans="1:22" ht="13.3" thickBot="1">
      <c r="A8" s="10"/>
      <c r="B8" s="1103" t="s">
        <v>326</v>
      </c>
      <c r="C8" s="1104"/>
      <c r="D8" s="1104"/>
      <c r="E8" s="1101" t="s">
        <v>325</v>
      </c>
      <c r="F8" s="1102"/>
      <c r="G8" s="430">
        <v>6000</v>
      </c>
      <c r="H8" s="433" t="s">
        <v>41</v>
      </c>
      <c r="I8" s="431" t="s">
        <v>279</v>
      </c>
      <c r="J8" s="431" t="s">
        <v>279</v>
      </c>
      <c r="K8" s="432" t="s">
        <v>41</v>
      </c>
      <c r="L8" s="432" t="s">
        <v>41</v>
      </c>
      <c r="M8" s="432" t="s">
        <v>41</v>
      </c>
      <c r="N8" s="432" t="s">
        <v>41</v>
      </c>
      <c r="O8" s="432" t="s">
        <v>41</v>
      </c>
      <c r="P8" s="432" t="s">
        <v>41</v>
      </c>
      <c r="Q8" s="10"/>
      <c r="R8" s="10"/>
      <c r="S8" s="10"/>
      <c r="T8" s="10"/>
      <c r="U8" s="10"/>
      <c r="V8" s="10"/>
    </row>
    <row r="9" spans="1:22" ht="13.3" thickBot="1">
      <c r="A9" s="10"/>
      <c r="B9" s="1115" t="s">
        <v>320</v>
      </c>
      <c r="C9" s="1116"/>
      <c r="D9" s="1117"/>
      <c r="E9" s="1101" t="s">
        <v>321</v>
      </c>
      <c r="F9" s="1102"/>
      <c r="G9" s="430">
        <v>2500</v>
      </c>
      <c r="H9" s="433" t="s">
        <v>41</v>
      </c>
      <c r="I9" s="433" t="s">
        <v>41</v>
      </c>
      <c r="J9" s="431" t="s">
        <v>279</v>
      </c>
      <c r="K9" s="431" t="s">
        <v>279</v>
      </c>
      <c r="L9" s="432" t="s">
        <v>41</v>
      </c>
      <c r="M9" s="432" t="s">
        <v>41</v>
      </c>
      <c r="N9" s="432" t="s">
        <v>41</v>
      </c>
      <c r="O9" s="432" t="s">
        <v>41</v>
      </c>
      <c r="P9" s="432" t="s">
        <v>41</v>
      </c>
      <c r="Q9" s="10"/>
      <c r="R9" s="10"/>
      <c r="S9" s="10"/>
      <c r="T9" s="10"/>
      <c r="U9" s="10"/>
      <c r="V9" s="10"/>
    </row>
    <row r="10" spans="1:22" ht="13.3" thickBot="1">
      <c r="A10" s="10"/>
      <c r="B10" s="1118" t="s">
        <v>277</v>
      </c>
      <c r="C10" s="1119"/>
      <c r="D10" s="1120"/>
      <c r="E10" s="1101" t="s">
        <v>278</v>
      </c>
      <c r="F10" s="1102"/>
      <c r="G10" s="430">
        <v>1500</v>
      </c>
      <c r="H10" s="433" t="s">
        <v>41</v>
      </c>
      <c r="I10" s="433" t="s">
        <v>41</v>
      </c>
      <c r="J10" s="434" t="s">
        <v>117</v>
      </c>
      <c r="K10" s="431" t="s">
        <v>279</v>
      </c>
      <c r="L10" s="431" t="s">
        <v>279</v>
      </c>
      <c r="M10" s="432" t="s">
        <v>41</v>
      </c>
      <c r="N10" s="432" t="s">
        <v>41</v>
      </c>
      <c r="O10" s="432" t="s">
        <v>41</v>
      </c>
      <c r="P10" s="432" t="s">
        <v>41</v>
      </c>
      <c r="Q10" s="10"/>
      <c r="R10" s="10"/>
      <c r="S10" s="10"/>
      <c r="T10" s="10"/>
      <c r="U10" s="10"/>
      <c r="V10" s="10"/>
    </row>
    <row r="11" spans="1:22" ht="12.9" thickBot="1">
      <c r="A11" s="10"/>
      <c r="B11" s="1110" t="s">
        <v>269</v>
      </c>
      <c r="C11" s="1111"/>
      <c r="D11" s="1111"/>
      <c r="E11" s="1129" t="s">
        <v>116</v>
      </c>
      <c r="F11" s="1130"/>
      <c r="G11" s="435">
        <v>800</v>
      </c>
      <c r="H11" s="433" t="s">
        <v>41</v>
      </c>
      <c r="I11" s="433" t="s">
        <v>41</v>
      </c>
      <c r="J11" s="433" t="s">
        <v>41</v>
      </c>
      <c r="K11" s="434" t="s">
        <v>117</v>
      </c>
      <c r="L11" s="436" t="s">
        <v>279</v>
      </c>
      <c r="M11" s="437" t="s">
        <v>40</v>
      </c>
      <c r="N11" s="438" t="s">
        <v>41</v>
      </c>
      <c r="O11" s="438" t="s">
        <v>41</v>
      </c>
      <c r="P11" s="432" t="s">
        <v>41</v>
      </c>
      <c r="Q11" s="10"/>
      <c r="R11" s="10"/>
      <c r="S11" s="10"/>
      <c r="T11" s="10"/>
      <c r="U11" s="10"/>
      <c r="V11" s="10"/>
    </row>
    <row r="12" spans="1:22" ht="12.9" thickBot="1">
      <c r="A12" s="10"/>
      <c r="B12" s="1132" t="s">
        <v>270</v>
      </c>
      <c r="C12" s="1133"/>
      <c r="D12" s="1133"/>
      <c r="E12" s="1129" t="s">
        <v>34</v>
      </c>
      <c r="F12" s="1130"/>
      <c r="G12" s="430">
        <v>400</v>
      </c>
      <c r="H12" s="433" t="s">
        <v>41</v>
      </c>
      <c r="I12" s="433" t="s">
        <v>41</v>
      </c>
      <c r="J12" s="433" t="s">
        <v>41</v>
      </c>
      <c r="K12" s="433" t="s">
        <v>41</v>
      </c>
      <c r="L12" s="434" t="s">
        <v>117</v>
      </c>
      <c r="M12" s="439" t="s">
        <v>40</v>
      </c>
      <c r="N12" s="440" t="s">
        <v>40</v>
      </c>
      <c r="O12" s="441" t="s">
        <v>41</v>
      </c>
      <c r="P12" s="442" t="s">
        <v>41</v>
      </c>
      <c r="Q12" s="10"/>
      <c r="R12" s="10"/>
      <c r="S12" s="10"/>
      <c r="T12" s="10"/>
      <c r="U12" s="10"/>
      <c r="V12" s="10"/>
    </row>
    <row r="13" spans="1:22" ht="12.9" thickBot="1">
      <c r="A13" s="10"/>
      <c r="B13" s="1103" t="s">
        <v>271</v>
      </c>
      <c r="C13" s="1104"/>
      <c r="D13" s="1104"/>
      <c r="E13" s="1129" t="s">
        <v>35</v>
      </c>
      <c r="F13" s="1130"/>
      <c r="G13" s="430">
        <v>200</v>
      </c>
      <c r="H13" s="433" t="s">
        <v>41</v>
      </c>
      <c r="I13" s="433" t="s">
        <v>41</v>
      </c>
      <c r="J13" s="433" t="s">
        <v>41</v>
      </c>
      <c r="K13" s="433" t="s">
        <v>41</v>
      </c>
      <c r="L13" s="433" t="s">
        <v>41</v>
      </c>
      <c r="M13" s="434" t="s">
        <v>117</v>
      </c>
      <c r="N13" s="440" t="s">
        <v>40</v>
      </c>
      <c r="O13" s="440" t="s">
        <v>40</v>
      </c>
      <c r="P13" s="442" t="s">
        <v>41</v>
      </c>
      <c r="Q13" s="10"/>
      <c r="R13" s="10"/>
      <c r="S13" s="10"/>
      <c r="T13" s="10"/>
      <c r="U13" s="10"/>
      <c r="V13" s="10"/>
    </row>
    <row r="14" spans="1:22" ht="12.9" thickBot="1">
      <c r="A14" s="10"/>
      <c r="B14" s="1196" t="s">
        <v>268</v>
      </c>
      <c r="C14" s="1197"/>
      <c r="D14" s="1197"/>
      <c r="E14" s="1129" t="s">
        <v>36</v>
      </c>
      <c r="F14" s="1130"/>
      <c r="G14" s="430">
        <v>100</v>
      </c>
      <c r="H14" s="433" t="s">
        <v>41</v>
      </c>
      <c r="I14" s="433" t="s">
        <v>41</v>
      </c>
      <c r="J14" s="433" t="s">
        <v>41</v>
      </c>
      <c r="K14" s="433" t="s">
        <v>41</v>
      </c>
      <c r="L14" s="433" t="s">
        <v>41</v>
      </c>
      <c r="M14" s="433" t="s">
        <v>41</v>
      </c>
      <c r="N14" s="443" t="s">
        <v>42</v>
      </c>
      <c r="O14" s="440" t="s">
        <v>40</v>
      </c>
      <c r="P14" s="444" t="s">
        <v>40</v>
      </c>
      <c r="Q14" s="10"/>
      <c r="R14" s="10"/>
      <c r="S14" s="10"/>
      <c r="T14" s="10"/>
      <c r="U14" s="10"/>
      <c r="V14" s="10"/>
    </row>
    <row r="15" spans="1:22" ht="12.9" thickBot="1">
      <c r="A15" s="10"/>
      <c r="B15" s="1124" t="s">
        <v>566</v>
      </c>
      <c r="C15" s="1125"/>
      <c r="D15" s="1126"/>
      <c r="E15" s="1129" t="s">
        <v>622</v>
      </c>
      <c r="F15" s="1130"/>
      <c r="G15" s="430">
        <v>18000</v>
      </c>
      <c r="H15" s="431" t="s">
        <v>279</v>
      </c>
      <c r="I15" s="433" t="s">
        <v>41</v>
      </c>
      <c r="J15" s="433" t="s">
        <v>41</v>
      </c>
      <c r="K15" s="433" t="s">
        <v>41</v>
      </c>
      <c r="L15" s="433" t="s">
        <v>41</v>
      </c>
      <c r="M15" s="433" t="s">
        <v>41</v>
      </c>
      <c r="N15" s="433" t="s">
        <v>41</v>
      </c>
      <c r="O15" s="433" t="s">
        <v>41</v>
      </c>
      <c r="P15" s="433" t="s">
        <v>41</v>
      </c>
      <c r="Q15" s="10"/>
      <c r="R15" s="10"/>
      <c r="S15" s="10"/>
      <c r="T15" s="10"/>
      <c r="U15" s="10"/>
      <c r="V15" s="10"/>
    </row>
    <row r="16" spans="1:22" ht="12.9" thickBot="1">
      <c r="A16" s="10"/>
      <c r="B16" s="1124" t="s">
        <v>566</v>
      </c>
      <c r="C16" s="1125"/>
      <c r="D16" s="1126"/>
      <c r="E16" s="1129" t="s">
        <v>569</v>
      </c>
      <c r="F16" s="1130"/>
      <c r="G16" s="430">
        <v>12000</v>
      </c>
      <c r="H16" s="431" t="s">
        <v>279</v>
      </c>
      <c r="I16" s="431" t="s">
        <v>279</v>
      </c>
      <c r="J16" s="442" t="s">
        <v>41</v>
      </c>
      <c r="K16" s="442" t="s">
        <v>41</v>
      </c>
      <c r="L16" s="442" t="s">
        <v>41</v>
      </c>
      <c r="M16" s="442" t="s">
        <v>41</v>
      </c>
      <c r="N16" s="442" t="s">
        <v>41</v>
      </c>
      <c r="O16" s="442" t="s">
        <v>41</v>
      </c>
      <c r="P16" s="442" t="s">
        <v>41</v>
      </c>
      <c r="Q16" s="10"/>
      <c r="R16" s="10"/>
      <c r="S16" s="10"/>
      <c r="T16" s="10"/>
      <c r="U16" s="10"/>
      <c r="V16" s="10"/>
    </row>
    <row r="17" spans="1:22" ht="12.9" thickBot="1">
      <c r="A17" s="10"/>
      <c r="B17" s="1124" t="s">
        <v>327</v>
      </c>
      <c r="C17" s="1125"/>
      <c r="D17" s="1126"/>
      <c r="E17" s="1129" t="s">
        <v>570</v>
      </c>
      <c r="F17" s="1130"/>
      <c r="G17" s="430">
        <v>6000</v>
      </c>
      <c r="H17" s="433" t="s">
        <v>41</v>
      </c>
      <c r="I17" s="431" t="s">
        <v>279</v>
      </c>
      <c r="J17" s="431" t="s">
        <v>279</v>
      </c>
      <c r="K17" s="442" t="s">
        <v>41</v>
      </c>
      <c r="L17" s="442" t="s">
        <v>41</v>
      </c>
      <c r="M17" s="442" t="s">
        <v>41</v>
      </c>
      <c r="N17" s="442" t="s">
        <v>41</v>
      </c>
      <c r="O17" s="442" t="s">
        <v>41</v>
      </c>
      <c r="P17" s="442" t="s">
        <v>41</v>
      </c>
      <c r="Q17" s="10"/>
      <c r="R17" s="10"/>
      <c r="S17" s="10"/>
      <c r="T17" s="10"/>
      <c r="U17" s="10"/>
      <c r="V17" s="10"/>
    </row>
    <row r="18" spans="1:22" ht="12.9" thickBot="1">
      <c r="A18" s="10"/>
      <c r="B18" s="1124" t="s">
        <v>323</v>
      </c>
      <c r="C18" s="1125"/>
      <c r="D18" s="1126"/>
      <c r="E18" s="1129" t="s">
        <v>571</v>
      </c>
      <c r="F18" s="1130"/>
      <c r="G18" s="430">
        <v>2500</v>
      </c>
      <c r="H18" s="433" t="s">
        <v>41</v>
      </c>
      <c r="I18" s="433" t="s">
        <v>41</v>
      </c>
      <c r="J18" s="445" t="s">
        <v>40</v>
      </c>
      <c r="K18" s="445" t="s">
        <v>40</v>
      </c>
      <c r="L18" s="442" t="s">
        <v>41</v>
      </c>
      <c r="M18" s="442" t="s">
        <v>41</v>
      </c>
      <c r="N18" s="442" t="s">
        <v>41</v>
      </c>
      <c r="O18" s="442" t="s">
        <v>41</v>
      </c>
      <c r="P18" s="442" t="s">
        <v>41</v>
      </c>
      <c r="Q18" s="10"/>
      <c r="R18" s="10"/>
      <c r="S18" s="10"/>
      <c r="T18" s="10"/>
      <c r="U18" s="10"/>
      <c r="V18" s="10"/>
    </row>
    <row r="19" spans="1:22" ht="12.9" thickBot="1">
      <c r="A19" s="10"/>
      <c r="B19" s="1124" t="s">
        <v>281</v>
      </c>
      <c r="C19" s="1125"/>
      <c r="D19" s="1126"/>
      <c r="E19" s="1129" t="s">
        <v>572</v>
      </c>
      <c r="F19" s="1130"/>
      <c r="G19" s="430">
        <v>1500</v>
      </c>
      <c r="H19" s="433" t="s">
        <v>41</v>
      </c>
      <c r="I19" s="433" t="s">
        <v>41</v>
      </c>
      <c r="J19" s="443" t="s">
        <v>42</v>
      </c>
      <c r="K19" s="445" t="s">
        <v>40</v>
      </c>
      <c r="L19" s="445" t="s">
        <v>40</v>
      </c>
      <c r="M19" s="442" t="s">
        <v>41</v>
      </c>
      <c r="N19" s="442" t="s">
        <v>41</v>
      </c>
      <c r="O19" s="442" t="s">
        <v>41</v>
      </c>
      <c r="P19" s="442" t="s">
        <v>41</v>
      </c>
      <c r="Q19" s="10"/>
      <c r="R19" s="10"/>
      <c r="S19" s="10"/>
      <c r="T19" s="10"/>
      <c r="U19" s="10"/>
      <c r="V19" s="10"/>
    </row>
    <row r="20" spans="1:22" ht="12.9" thickBot="1">
      <c r="A20" s="10"/>
      <c r="B20" s="1124" t="s">
        <v>272</v>
      </c>
      <c r="C20" s="1186"/>
      <c r="D20" s="1186"/>
      <c r="E20" s="1129" t="s">
        <v>573</v>
      </c>
      <c r="F20" s="1130"/>
      <c r="G20" s="430">
        <v>800</v>
      </c>
      <c r="H20" s="433" t="s">
        <v>41</v>
      </c>
      <c r="I20" s="433" t="s">
        <v>41</v>
      </c>
      <c r="J20" s="441" t="s">
        <v>41</v>
      </c>
      <c r="K20" s="443" t="s">
        <v>42</v>
      </c>
      <c r="L20" s="445" t="s">
        <v>40</v>
      </c>
      <c r="M20" s="445" t="s">
        <v>40</v>
      </c>
      <c r="N20" s="441" t="s">
        <v>41</v>
      </c>
      <c r="O20" s="441" t="s">
        <v>41</v>
      </c>
      <c r="P20" s="442" t="s">
        <v>41</v>
      </c>
      <c r="Q20" s="10"/>
      <c r="R20" s="10"/>
      <c r="S20" s="10"/>
      <c r="T20" s="10"/>
      <c r="U20" s="10"/>
      <c r="V20" s="10"/>
    </row>
    <row r="21" spans="1:22" ht="12.9" thickBot="1">
      <c r="A21" s="10"/>
      <c r="B21" s="1124" t="s">
        <v>273</v>
      </c>
      <c r="C21" s="1186"/>
      <c r="D21" s="1186"/>
      <c r="E21" s="1129" t="s">
        <v>33</v>
      </c>
      <c r="F21" s="1130"/>
      <c r="G21" s="430">
        <v>400</v>
      </c>
      <c r="H21" s="433" t="s">
        <v>41</v>
      </c>
      <c r="I21" s="433" t="s">
        <v>41</v>
      </c>
      <c r="J21" s="441" t="s">
        <v>41</v>
      </c>
      <c r="K21" s="441" t="s">
        <v>41</v>
      </c>
      <c r="L21" s="443" t="s">
        <v>42</v>
      </c>
      <c r="M21" s="445" t="s">
        <v>40</v>
      </c>
      <c r="N21" s="440" t="s">
        <v>40</v>
      </c>
      <c r="O21" s="441" t="s">
        <v>41</v>
      </c>
      <c r="P21" s="442" t="s">
        <v>41</v>
      </c>
      <c r="Q21" s="10"/>
      <c r="R21" s="10"/>
      <c r="S21" s="10"/>
      <c r="T21" s="10"/>
      <c r="U21" s="10"/>
      <c r="V21" s="10"/>
    </row>
    <row r="22" spans="1:22" ht="12.9" thickBot="1">
      <c r="A22" s="10"/>
      <c r="B22" s="1182" t="s">
        <v>275</v>
      </c>
      <c r="C22" s="1183"/>
      <c r="D22" s="1183"/>
      <c r="E22" s="1129" t="s">
        <v>276</v>
      </c>
      <c r="F22" s="1130"/>
      <c r="G22" s="446" t="s">
        <v>43</v>
      </c>
      <c r="H22" s="447" t="s">
        <v>282</v>
      </c>
      <c r="I22" s="447" t="s">
        <v>282</v>
      </c>
      <c r="J22" s="447" t="s">
        <v>282</v>
      </c>
      <c r="K22" s="447" t="s">
        <v>282</v>
      </c>
      <c r="L22" s="447" t="s">
        <v>282</v>
      </c>
      <c r="M22" s="447" t="s">
        <v>44</v>
      </c>
      <c r="N22" s="447" t="s">
        <v>44</v>
      </c>
      <c r="O22" s="447" t="s">
        <v>44</v>
      </c>
      <c r="P22" s="447" t="s">
        <v>44</v>
      </c>
      <c r="Q22" s="10"/>
      <c r="R22" s="10"/>
      <c r="S22" s="10"/>
      <c r="T22" s="10"/>
      <c r="U22" s="10"/>
      <c r="V22" s="10"/>
    </row>
    <row r="23" spans="1:22" ht="12.9" thickBot="1">
      <c r="A23" s="10"/>
      <c r="B23" s="1184" t="s">
        <v>274</v>
      </c>
      <c r="C23" s="1185"/>
      <c r="D23" s="1185"/>
      <c r="E23" s="1129" t="s">
        <v>266</v>
      </c>
      <c r="F23" s="1130"/>
      <c r="G23" s="448" t="s">
        <v>43</v>
      </c>
      <c r="H23" s="449" t="s">
        <v>282</v>
      </c>
      <c r="I23" s="449" t="s">
        <v>282</v>
      </c>
      <c r="J23" s="449" t="s">
        <v>282</v>
      </c>
      <c r="K23" s="449" t="s">
        <v>282</v>
      </c>
      <c r="L23" s="449" t="s">
        <v>282</v>
      </c>
      <c r="M23" s="449" t="s">
        <v>44</v>
      </c>
      <c r="N23" s="449" t="s">
        <v>44</v>
      </c>
      <c r="O23" s="449" t="s">
        <v>44</v>
      </c>
      <c r="P23" s="449" t="s">
        <v>44</v>
      </c>
      <c r="Q23" s="10"/>
      <c r="R23" s="10"/>
      <c r="S23" s="10"/>
      <c r="T23" s="10"/>
      <c r="U23" s="10"/>
      <c r="V23" s="10"/>
    </row>
    <row r="24" spans="1:22">
      <c r="A24" s="10"/>
      <c r="B24" s="1127" t="s">
        <v>51</v>
      </c>
      <c r="C24" s="1128"/>
      <c r="D24" s="1128"/>
      <c r="E24" s="1128"/>
      <c r="F24" s="1128"/>
      <c r="G24" s="1128"/>
      <c r="H24" s="1128"/>
      <c r="I24" s="1128"/>
      <c r="J24" s="1128"/>
      <c r="K24" s="1128"/>
      <c r="L24" s="1128"/>
      <c r="M24" s="450"/>
      <c r="N24" s="10"/>
      <c r="O24" s="10"/>
      <c r="P24" s="10"/>
      <c r="Q24" s="10"/>
      <c r="R24" s="10"/>
      <c r="S24" s="10"/>
      <c r="T24" s="10"/>
      <c r="U24" s="10"/>
      <c r="V24" s="10"/>
    </row>
    <row r="25" spans="1:22" ht="13.3">
      <c r="A25" s="10"/>
      <c r="B25" s="451" t="s">
        <v>620</v>
      </c>
      <c r="C25" s="452"/>
      <c r="D25" s="452"/>
      <c r="E25" s="452"/>
      <c r="F25" s="452"/>
      <c r="G25" s="452"/>
      <c r="H25" s="452"/>
      <c r="I25" s="452"/>
      <c r="J25" s="452"/>
      <c r="K25" s="452"/>
      <c r="L25" s="452"/>
      <c r="M25" s="452"/>
      <c r="N25" s="10"/>
      <c r="O25" s="10"/>
      <c r="P25" s="10"/>
      <c r="Q25" s="10"/>
      <c r="R25" s="10"/>
      <c r="S25" s="10"/>
      <c r="T25" s="10"/>
      <c r="U25" s="10"/>
      <c r="V25" s="10"/>
    </row>
    <row r="26" spans="1:22" ht="13.3">
      <c r="A26" s="10"/>
      <c r="B26" s="453" t="s">
        <v>602</v>
      </c>
      <c r="C26" s="452"/>
      <c r="D26" s="452"/>
      <c r="E26" s="452"/>
      <c r="F26" s="452"/>
      <c r="G26" s="452"/>
      <c r="H26" s="452"/>
      <c r="I26" s="452"/>
      <c r="J26" s="452"/>
      <c r="K26" s="452"/>
      <c r="L26" s="452"/>
      <c r="M26" s="452"/>
      <c r="N26" s="10"/>
      <c r="O26" s="10"/>
      <c r="P26" s="10"/>
      <c r="Q26" s="10"/>
      <c r="R26" s="10"/>
      <c r="S26" s="10"/>
      <c r="T26" s="10"/>
      <c r="U26" s="10"/>
      <c r="V26" s="10"/>
    </row>
    <row r="27" spans="1:22" ht="13.3">
      <c r="A27" s="10"/>
      <c r="B27" s="453" t="s">
        <v>603</v>
      </c>
      <c r="C27" s="453"/>
      <c r="D27" s="452"/>
      <c r="E27" s="452"/>
      <c r="F27" s="452"/>
      <c r="G27" s="452"/>
      <c r="H27" s="452"/>
      <c r="I27" s="452"/>
      <c r="J27" s="452"/>
      <c r="K27" s="452"/>
      <c r="L27" s="452"/>
      <c r="M27" s="452"/>
      <c r="N27" s="10"/>
      <c r="O27" s="10"/>
      <c r="P27" s="10"/>
      <c r="Q27" s="10"/>
      <c r="R27" s="10"/>
      <c r="S27" s="10"/>
      <c r="T27" s="10"/>
      <c r="U27" s="10"/>
      <c r="V27" s="10"/>
    </row>
    <row r="28" spans="1:22" ht="12.9" thickBot="1">
      <c r="A28" s="10"/>
      <c r="B28" s="10"/>
      <c r="C28" s="10"/>
      <c r="D28" s="10"/>
      <c r="E28" s="10"/>
      <c r="F28" s="10"/>
      <c r="G28" s="10"/>
      <c r="H28" s="10"/>
      <c r="I28" s="10"/>
      <c r="J28" s="10"/>
      <c r="K28" s="10"/>
      <c r="L28" s="10"/>
      <c r="M28" s="10"/>
      <c r="N28" s="10"/>
      <c r="O28" s="10"/>
      <c r="P28" s="10"/>
      <c r="Q28" s="10"/>
      <c r="R28" s="10"/>
      <c r="S28" s="10"/>
      <c r="T28" s="10"/>
      <c r="U28" s="10"/>
      <c r="V28" s="10"/>
    </row>
    <row r="29" spans="1:22" ht="12.9" thickBot="1">
      <c r="A29" s="10"/>
      <c r="B29" s="1198">
        <v>3592</v>
      </c>
      <c r="C29" s="1199"/>
      <c r="D29" s="10"/>
      <c r="E29" s="10"/>
      <c r="F29" s="10"/>
      <c r="G29" s="10"/>
      <c r="H29" s="10"/>
      <c r="I29" s="10"/>
      <c r="J29" s="10"/>
      <c r="K29" s="10"/>
      <c r="L29" s="10"/>
      <c r="M29" s="10"/>
      <c r="N29" s="10"/>
      <c r="O29" s="10"/>
      <c r="P29" s="10"/>
      <c r="Q29" s="10"/>
      <c r="R29" s="10"/>
      <c r="S29" s="10"/>
      <c r="T29" s="10"/>
      <c r="U29" s="10"/>
      <c r="V29" s="10"/>
    </row>
    <row r="30" spans="1:22">
      <c r="A30" s="10"/>
      <c r="B30" s="1168" t="s">
        <v>185</v>
      </c>
      <c r="C30" s="1169"/>
      <c r="D30" s="1169"/>
      <c r="E30" s="1172" t="s">
        <v>46</v>
      </c>
      <c r="F30" s="1150" t="s">
        <v>45</v>
      </c>
      <c r="G30" s="1152" t="s">
        <v>635</v>
      </c>
      <c r="H30" s="1153"/>
      <c r="I30" s="1152" t="s">
        <v>609</v>
      </c>
      <c r="J30" s="1153"/>
      <c r="K30" s="1137" t="s">
        <v>598</v>
      </c>
      <c r="L30" s="1138"/>
      <c r="M30" s="1137" t="s">
        <v>597</v>
      </c>
      <c r="N30" s="1138"/>
      <c r="O30" s="1137" t="s">
        <v>596</v>
      </c>
      <c r="P30" s="1138"/>
      <c r="Q30" s="1137" t="s">
        <v>186</v>
      </c>
      <c r="R30" s="1138"/>
      <c r="S30" s="1137" t="s">
        <v>53</v>
      </c>
      <c r="T30" s="1138"/>
      <c r="U30" s="1137" t="s">
        <v>38</v>
      </c>
      <c r="V30" s="1138"/>
    </row>
    <row r="31" spans="1:22" ht="12.9" thickBot="1">
      <c r="A31" s="10"/>
      <c r="B31" s="1170"/>
      <c r="C31" s="1171"/>
      <c r="D31" s="1171"/>
      <c r="E31" s="1173"/>
      <c r="F31" s="1151"/>
      <c r="G31" s="454" t="s">
        <v>594</v>
      </c>
      <c r="H31" s="455" t="s">
        <v>50</v>
      </c>
      <c r="I31" s="454" t="s">
        <v>594</v>
      </c>
      <c r="J31" s="455" t="s">
        <v>50</v>
      </c>
      <c r="K31" s="454" t="s">
        <v>594</v>
      </c>
      <c r="L31" s="455" t="s">
        <v>50</v>
      </c>
      <c r="M31" s="454" t="s">
        <v>594</v>
      </c>
      <c r="N31" s="455" t="s">
        <v>50</v>
      </c>
      <c r="O31" s="454" t="s">
        <v>594</v>
      </c>
      <c r="P31" s="455" t="s">
        <v>50</v>
      </c>
      <c r="Q31" s="454" t="s">
        <v>594</v>
      </c>
      <c r="R31" s="455" t="s">
        <v>50</v>
      </c>
      <c r="S31" s="454" t="s">
        <v>594</v>
      </c>
      <c r="T31" s="455" t="s">
        <v>50</v>
      </c>
      <c r="U31" s="456" t="s">
        <v>594</v>
      </c>
      <c r="V31" s="457" t="s">
        <v>50</v>
      </c>
    </row>
    <row r="32" spans="1:22" ht="12.9" thickBot="1">
      <c r="A32" s="10"/>
      <c r="B32" s="1121" t="s">
        <v>333</v>
      </c>
      <c r="C32" s="1122"/>
      <c r="D32" s="1131"/>
      <c r="E32" s="458" t="s">
        <v>632</v>
      </c>
      <c r="F32" s="459" t="s">
        <v>633</v>
      </c>
      <c r="G32" s="460">
        <v>50000</v>
      </c>
      <c r="H32" s="461" t="s">
        <v>316</v>
      </c>
      <c r="I32" s="462" t="s">
        <v>43</v>
      </c>
      <c r="J32" s="463" t="s">
        <v>41</v>
      </c>
      <c r="K32" s="462" t="s">
        <v>43</v>
      </c>
      <c r="L32" s="463" t="s">
        <v>41</v>
      </c>
      <c r="M32" s="462" t="s">
        <v>43</v>
      </c>
      <c r="N32" s="463" t="s">
        <v>41</v>
      </c>
      <c r="O32" s="462" t="s">
        <v>43</v>
      </c>
      <c r="P32" s="463" t="s">
        <v>41</v>
      </c>
      <c r="Q32" s="462" t="s">
        <v>43</v>
      </c>
      <c r="R32" s="463" t="s">
        <v>41</v>
      </c>
      <c r="S32" s="462" t="s">
        <v>43</v>
      </c>
      <c r="T32" s="463" t="s">
        <v>41</v>
      </c>
      <c r="U32" s="462" t="s">
        <v>43</v>
      </c>
      <c r="V32" s="463" t="s">
        <v>41</v>
      </c>
    </row>
    <row r="33" spans="1:22" ht="12.9" thickBot="1">
      <c r="A33" s="10"/>
      <c r="B33" s="1121" t="s">
        <v>333</v>
      </c>
      <c r="C33" s="1122"/>
      <c r="D33" s="1131"/>
      <c r="E33" s="458" t="s">
        <v>606</v>
      </c>
      <c r="F33" s="459" t="s">
        <v>604</v>
      </c>
      <c r="G33" s="486" t="s">
        <v>317</v>
      </c>
      <c r="H33" s="463" t="s">
        <v>318</v>
      </c>
      <c r="I33" s="460">
        <v>20000</v>
      </c>
      <c r="J33" s="461" t="s">
        <v>316</v>
      </c>
      <c r="K33" s="462" t="s">
        <v>43</v>
      </c>
      <c r="L33" s="463" t="s">
        <v>41</v>
      </c>
      <c r="M33" s="462" t="s">
        <v>43</v>
      </c>
      <c r="N33" s="463" t="s">
        <v>41</v>
      </c>
      <c r="O33" s="462" t="s">
        <v>43</v>
      </c>
      <c r="P33" s="463" t="s">
        <v>41</v>
      </c>
      <c r="Q33" s="462" t="s">
        <v>43</v>
      </c>
      <c r="R33" s="463" t="s">
        <v>41</v>
      </c>
      <c r="S33" s="462" t="s">
        <v>43</v>
      </c>
      <c r="T33" s="463" t="s">
        <v>41</v>
      </c>
      <c r="U33" s="462" t="s">
        <v>43</v>
      </c>
      <c r="V33" s="463" t="s">
        <v>41</v>
      </c>
    </row>
    <row r="34" spans="1:22" ht="12.9" thickBot="1">
      <c r="A34" s="10"/>
      <c r="B34" s="1121" t="s">
        <v>332</v>
      </c>
      <c r="C34" s="1122"/>
      <c r="D34" s="1123"/>
      <c r="E34" s="466" t="s">
        <v>607</v>
      </c>
      <c r="F34" s="467" t="s">
        <v>604</v>
      </c>
      <c r="G34" s="470" t="s">
        <v>43</v>
      </c>
      <c r="H34" s="471" t="s">
        <v>318</v>
      </c>
      <c r="I34" s="460">
        <v>5000</v>
      </c>
      <c r="J34" s="461" t="s">
        <v>316</v>
      </c>
      <c r="K34" s="462" t="s">
        <v>43</v>
      </c>
      <c r="L34" s="463" t="s">
        <v>41</v>
      </c>
      <c r="M34" s="462" t="s">
        <v>43</v>
      </c>
      <c r="N34" s="463" t="s">
        <v>41</v>
      </c>
      <c r="O34" s="462" t="s">
        <v>43</v>
      </c>
      <c r="P34" s="463" t="s">
        <v>41</v>
      </c>
      <c r="Q34" s="462" t="s">
        <v>43</v>
      </c>
      <c r="R34" s="463" t="s">
        <v>41</v>
      </c>
      <c r="S34" s="462" t="s">
        <v>43</v>
      </c>
      <c r="T34" s="463" t="s">
        <v>41</v>
      </c>
      <c r="U34" s="462" t="s">
        <v>43</v>
      </c>
      <c r="V34" s="463" t="s">
        <v>41</v>
      </c>
    </row>
    <row r="35" spans="1:22" ht="12.9" thickBot="1">
      <c r="A35" s="10"/>
      <c r="B35" s="1121" t="s">
        <v>333</v>
      </c>
      <c r="C35" s="1122"/>
      <c r="D35" s="1131"/>
      <c r="E35" s="458" t="s">
        <v>330</v>
      </c>
      <c r="F35" s="459" t="s">
        <v>334</v>
      </c>
      <c r="G35" s="499" t="s">
        <v>43</v>
      </c>
      <c r="H35" s="478" t="s">
        <v>318</v>
      </c>
      <c r="I35" s="460">
        <v>15000</v>
      </c>
      <c r="J35" s="461" t="s">
        <v>316</v>
      </c>
      <c r="K35" s="460">
        <v>15000</v>
      </c>
      <c r="L35" s="461" t="s">
        <v>316</v>
      </c>
      <c r="M35" s="460">
        <v>10000</v>
      </c>
      <c r="N35" s="461" t="s">
        <v>316</v>
      </c>
      <c r="O35" s="462" t="s">
        <v>43</v>
      </c>
      <c r="P35" s="463" t="s">
        <v>41</v>
      </c>
      <c r="Q35" s="462" t="s">
        <v>43</v>
      </c>
      <c r="R35" s="463" t="s">
        <v>41</v>
      </c>
      <c r="S35" s="462" t="s">
        <v>43</v>
      </c>
      <c r="T35" s="463" t="s">
        <v>41</v>
      </c>
      <c r="U35" s="464" t="s">
        <v>43</v>
      </c>
      <c r="V35" s="465" t="s">
        <v>41</v>
      </c>
    </row>
    <row r="36" spans="1:22" ht="12.9" thickBot="1">
      <c r="A36" s="10"/>
      <c r="B36" s="1121" t="s">
        <v>332</v>
      </c>
      <c r="C36" s="1122"/>
      <c r="D36" s="1123"/>
      <c r="E36" s="466" t="s">
        <v>331</v>
      </c>
      <c r="F36" s="467" t="s">
        <v>334</v>
      </c>
      <c r="G36" s="486" t="s">
        <v>317</v>
      </c>
      <c r="H36" s="463" t="s">
        <v>318</v>
      </c>
      <c r="I36" s="460">
        <v>3000</v>
      </c>
      <c r="J36" s="461" t="s">
        <v>316</v>
      </c>
      <c r="K36" s="460">
        <v>3000</v>
      </c>
      <c r="L36" s="461" t="s">
        <v>316</v>
      </c>
      <c r="M36" s="460">
        <v>2000</v>
      </c>
      <c r="N36" s="461" t="s">
        <v>316</v>
      </c>
      <c r="O36" s="462" t="s">
        <v>43</v>
      </c>
      <c r="P36" s="463" t="s">
        <v>41</v>
      </c>
      <c r="Q36" s="462" t="s">
        <v>43</v>
      </c>
      <c r="R36" s="463" t="s">
        <v>41</v>
      </c>
      <c r="S36" s="462" t="s">
        <v>43</v>
      </c>
      <c r="T36" s="463" t="s">
        <v>41</v>
      </c>
      <c r="U36" s="464" t="s">
        <v>43</v>
      </c>
      <c r="V36" s="465" t="s">
        <v>41</v>
      </c>
    </row>
    <row r="37" spans="1:22" ht="12.9" thickBot="1">
      <c r="A37" s="10"/>
      <c r="B37" s="1174" t="s">
        <v>311</v>
      </c>
      <c r="C37" s="1175"/>
      <c r="D37" s="1176"/>
      <c r="E37" s="1194" t="s">
        <v>309</v>
      </c>
      <c r="F37" s="459" t="s">
        <v>312</v>
      </c>
      <c r="G37" s="470" t="s">
        <v>43</v>
      </c>
      <c r="H37" s="471" t="s">
        <v>318</v>
      </c>
      <c r="I37" s="460">
        <v>7000</v>
      </c>
      <c r="J37" s="461" t="s">
        <v>316</v>
      </c>
      <c r="K37" s="460">
        <v>7000</v>
      </c>
      <c r="L37" s="461" t="s">
        <v>316</v>
      </c>
      <c r="M37" s="460">
        <v>7000</v>
      </c>
      <c r="N37" s="461" t="s">
        <v>316</v>
      </c>
      <c r="O37" s="460">
        <v>4000</v>
      </c>
      <c r="P37" s="461" t="s">
        <v>316</v>
      </c>
      <c r="Q37" s="462" t="s">
        <v>43</v>
      </c>
      <c r="R37" s="463" t="s">
        <v>41</v>
      </c>
      <c r="S37" s="462" t="s">
        <v>43</v>
      </c>
      <c r="T37" s="463" t="s">
        <v>41</v>
      </c>
      <c r="U37" s="464" t="s">
        <v>43</v>
      </c>
      <c r="V37" s="465" t="s">
        <v>41</v>
      </c>
    </row>
    <row r="38" spans="1:22" ht="13.75" thickBot="1">
      <c r="A38" s="10"/>
      <c r="B38" s="1177"/>
      <c r="C38" s="1178"/>
      <c r="D38" s="1179"/>
      <c r="E38" s="1195"/>
      <c r="F38" s="459" t="s">
        <v>312</v>
      </c>
      <c r="G38" s="499" t="s">
        <v>43</v>
      </c>
      <c r="H38" s="478" t="s">
        <v>318</v>
      </c>
      <c r="I38" s="532">
        <v>4000</v>
      </c>
      <c r="J38" s="533" t="s">
        <v>627</v>
      </c>
      <c r="K38" s="532">
        <v>4000</v>
      </c>
      <c r="L38" s="533" t="s">
        <v>627</v>
      </c>
      <c r="M38" s="460">
        <v>4000</v>
      </c>
      <c r="N38" s="461" t="s">
        <v>316</v>
      </c>
      <c r="O38" s="460">
        <v>4000</v>
      </c>
      <c r="P38" s="461" t="s">
        <v>316</v>
      </c>
      <c r="Q38" s="462" t="s">
        <v>43</v>
      </c>
      <c r="R38" s="463" t="s">
        <v>41</v>
      </c>
      <c r="S38" s="462" t="s">
        <v>43</v>
      </c>
      <c r="T38" s="463" t="s">
        <v>41</v>
      </c>
      <c r="U38" s="464" t="s">
        <v>43</v>
      </c>
      <c r="V38" s="465" t="s">
        <v>41</v>
      </c>
    </row>
    <row r="39" spans="1:22" ht="12.9" thickBot="1">
      <c r="A39" s="10"/>
      <c r="B39" s="1174" t="s">
        <v>305</v>
      </c>
      <c r="C39" s="1175"/>
      <c r="D39" s="1176"/>
      <c r="E39" s="1194" t="s">
        <v>310</v>
      </c>
      <c r="F39" s="467" t="s">
        <v>312</v>
      </c>
      <c r="G39" s="486" t="s">
        <v>317</v>
      </c>
      <c r="H39" s="463" t="s">
        <v>318</v>
      </c>
      <c r="I39" s="460">
        <v>900</v>
      </c>
      <c r="J39" s="461" t="s">
        <v>316</v>
      </c>
      <c r="K39" s="460">
        <v>900</v>
      </c>
      <c r="L39" s="461" t="s">
        <v>316</v>
      </c>
      <c r="M39" s="460">
        <v>900</v>
      </c>
      <c r="N39" s="461" t="s">
        <v>316</v>
      </c>
      <c r="O39" s="460">
        <v>500</v>
      </c>
      <c r="P39" s="461" t="s">
        <v>316</v>
      </c>
      <c r="Q39" s="462" t="s">
        <v>43</v>
      </c>
      <c r="R39" s="463" t="s">
        <v>41</v>
      </c>
      <c r="S39" s="462" t="s">
        <v>43</v>
      </c>
      <c r="T39" s="463" t="s">
        <v>41</v>
      </c>
      <c r="U39" s="464" t="s">
        <v>43</v>
      </c>
      <c r="V39" s="465" t="s">
        <v>41</v>
      </c>
    </row>
    <row r="40" spans="1:22" ht="13.75" thickBot="1">
      <c r="A40" s="10"/>
      <c r="B40" s="1177"/>
      <c r="C40" s="1178"/>
      <c r="D40" s="1179"/>
      <c r="E40" s="1195"/>
      <c r="F40" s="467" t="s">
        <v>312</v>
      </c>
      <c r="G40" s="470" t="s">
        <v>43</v>
      </c>
      <c r="H40" s="471" t="s">
        <v>318</v>
      </c>
      <c r="I40" s="532">
        <v>500</v>
      </c>
      <c r="J40" s="533" t="s">
        <v>627</v>
      </c>
      <c r="K40" s="532">
        <v>500</v>
      </c>
      <c r="L40" s="533" t="s">
        <v>627</v>
      </c>
      <c r="M40" s="460">
        <v>500</v>
      </c>
      <c r="N40" s="461" t="s">
        <v>316</v>
      </c>
      <c r="O40" s="460">
        <v>500</v>
      </c>
      <c r="P40" s="461" t="s">
        <v>316</v>
      </c>
      <c r="Q40" s="462" t="s">
        <v>43</v>
      </c>
      <c r="R40" s="463" t="s">
        <v>41</v>
      </c>
      <c r="S40" s="462" t="s">
        <v>43</v>
      </c>
      <c r="T40" s="463" t="s">
        <v>41</v>
      </c>
      <c r="U40" s="464" t="s">
        <v>43</v>
      </c>
      <c r="V40" s="465" t="s">
        <v>41</v>
      </c>
    </row>
    <row r="41" spans="1:22">
      <c r="A41" s="10"/>
      <c r="B41" s="1162" t="s">
        <v>306</v>
      </c>
      <c r="C41" s="1163"/>
      <c r="D41" s="1164"/>
      <c r="E41" s="1154" t="s">
        <v>182</v>
      </c>
      <c r="F41" s="468" t="s">
        <v>312</v>
      </c>
      <c r="G41" s="486" t="s">
        <v>317</v>
      </c>
      <c r="H41" s="463" t="s">
        <v>318</v>
      </c>
      <c r="I41" s="486" t="s">
        <v>317</v>
      </c>
      <c r="J41" s="463" t="s">
        <v>318</v>
      </c>
      <c r="K41" s="486" t="s">
        <v>317</v>
      </c>
      <c r="L41" s="463" t="s">
        <v>318</v>
      </c>
      <c r="M41" s="486" t="s">
        <v>317</v>
      </c>
      <c r="N41" s="463" t="s">
        <v>318</v>
      </c>
      <c r="O41" s="460">
        <v>1600</v>
      </c>
      <c r="P41" s="461" t="s">
        <v>40</v>
      </c>
      <c r="Q41" s="462" t="s">
        <v>43</v>
      </c>
      <c r="R41" s="463" t="s">
        <v>41</v>
      </c>
      <c r="S41" s="462" t="s">
        <v>43</v>
      </c>
      <c r="T41" s="463" t="s">
        <v>41</v>
      </c>
      <c r="U41" s="464" t="s">
        <v>43</v>
      </c>
      <c r="V41" s="465" t="s">
        <v>41</v>
      </c>
    </row>
    <row r="42" spans="1:22">
      <c r="A42" s="10"/>
      <c r="B42" s="1165"/>
      <c r="C42" s="1166"/>
      <c r="D42" s="1167"/>
      <c r="E42" s="1146"/>
      <c r="F42" s="469" t="s">
        <v>313</v>
      </c>
      <c r="G42" s="470" t="s">
        <v>43</v>
      </c>
      <c r="H42" s="471" t="s">
        <v>318</v>
      </c>
      <c r="I42" s="470" t="s">
        <v>43</v>
      </c>
      <c r="J42" s="471" t="s">
        <v>318</v>
      </c>
      <c r="K42" s="470" t="s">
        <v>43</v>
      </c>
      <c r="L42" s="471" t="s">
        <v>318</v>
      </c>
      <c r="M42" s="470" t="s">
        <v>43</v>
      </c>
      <c r="N42" s="471" t="s">
        <v>318</v>
      </c>
      <c r="O42" s="472">
        <v>1000</v>
      </c>
      <c r="P42" s="473" t="s">
        <v>40</v>
      </c>
      <c r="Q42" s="472">
        <v>1000</v>
      </c>
      <c r="R42" s="473" t="s">
        <v>40</v>
      </c>
      <c r="S42" s="474" t="s">
        <v>43</v>
      </c>
      <c r="T42" s="471" t="s">
        <v>41</v>
      </c>
      <c r="U42" s="475" t="s">
        <v>43</v>
      </c>
      <c r="V42" s="476" t="s">
        <v>41</v>
      </c>
    </row>
    <row r="43" spans="1:22" ht="13.75" thickBot="1">
      <c r="A43" s="10"/>
      <c r="B43" s="1165"/>
      <c r="C43" s="1166"/>
      <c r="D43" s="1167"/>
      <c r="E43" s="1146"/>
      <c r="F43" s="477" t="s">
        <v>314</v>
      </c>
      <c r="G43" s="499" t="s">
        <v>43</v>
      </c>
      <c r="H43" s="478" t="s">
        <v>318</v>
      </c>
      <c r="I43" s="499" t="s">
        <v>43</v>
      </c>
      <c r="J43" s="478" t="s">
        <v>318</v>
      </c>
      <c r="K43" s="499" t="s">
        <v>43</v>
      </c>
      <c r="L43" s="478" t="s">
        <v>318</v>
      </c>
      <c r="M43" s="499" t="s">
        <v>43</v>
      </c>
      <c r="N43" s="478" t="s">
        <v>318</v>
      </c>
      <c r="O43" s="479">
        <v>700</v>
      </c>
      <c r="P43" s="480" t="s">
        <v>595</v>
      </c>
      <c r="Q43" s="481">
        <v>700</v>
      </c>
      <c r="R43" s="482" t="s">
        <v>40</v>
      </c>
      <c r="S43" s="481">
        <v>700</v>
      </c>
      <c r="T43" s="482" t="s">
        <v>40</v>
      </c>
      <c r="U43" s="483" t="s">
        <v>43</v>
      </c>
      <c r="V43" s="484" t="s">
        <v>41</v>
      </c>
    </row>
    <row r="44" spans="1:22" ht="13.3">
      <c r="A44" s="10"/>
      <c r="B44" s="1156" t="s">
        <v>307</v>
      </c>
      <c r="C44" s="1157"/>
      <c r="D44" s="1158"/>
      <c r="E44" s="1154" t="s">
        <v>183</v>
      </c>
      <c r="F44" s="485" t="s">
        <v>313</v>
      </c>
      <c r="G44" s="486" t="s">
        <v>317</v>
      </c>
      <c r="H44" s="487" t="s">
        <v>318</v>
      </c>
      <c r="I44" s="486" t="s">
        <v>317</v>
      </c>
      <c r="J44" s="487" t="s">
        <v>318</v>
      </c>
      <c r="K44" s="486" t="s">
        <v>317</v>
      </c>
      <c r="L44" s="487" t="s">
        <v>318</v>
      </c>
      <c r="M44" s="486" t="s">
        <v>317</v>
      </c>
      <c r="N44" s="487" t="s">
        <v>318</v>
      </c>
      <c r="O44" s="488">
        <v>640</v>
      </c>
      <c r="P44" s="489" t="s">
        <v>595</v>
      </c>
      <c r="Q44" s="490">
        <v>640</v>
      </c>
      <c r="R44" s="491" t="s">
        <v>40</v>
      </c>
      <c r="S44" s="492" t="s">
        <v>43</v>
      </c>
      <c r="T44" s="487" t="s">
        <v>41</v>
      </c>
      <c r="U44" s="493" t="s">
        <v>43</v>
      </c>
      <c r="V44" s="494" t="s">
        <v>41</v>
      </c>
    </row>
    <row r="45" spans="1:22" ht="13.3">
      <c r="A45" s="10"/>
      <c r="B45" s="1147"/>
      <c r="C45" s="1148"/>
      <c r="D45" s="1149"/>
      <c r="E45" s="1145"/>
      <c r="F45" s="469" t="s">
        <v>314</v>
      </c>
      <c r="G45" s="470" t="s">
        <v>43</v>
      </c>
      <c r="H45" s="471" t="s">
        <v>41</v>
      </c>
      <c r="I45" s="470" t="s">
        <v>43</v>
      </c>
      <c r="J45" s="471" t="s">
        <v>41</v>
      </c>
      <c r="K45" s="470" t="s">
        <v>43</v>
      </c>
      <c r="L45" s="471" t="s">
        <v>41</v>
      </c>
      <c r="M45" s="470" t="s">
        <v>43</v>
      </c>
      <c r="N45" s="471" t="s">
        <v>41</v>
      </c>
      <c r="O45" s="495">
        <v>500</v>
      </c>
      <c r="P45" s="480" t="s">
        <v>595</v>
      </c>
      <c r="Q45" s="496">
        <v>500</v>
      </c>
      <c r="R45" s="497" t="s">
        <v>40</v>
      </c>
      <c r="S45" s="496">
        <v>500</v>
      </c>
      <c r="T45" s="497" t="s">
        <v>40</v>
      </c>
      <c r="U45" s="475" t="s">
        <v>43</v>
      </c>
      <c r="V45" s="476" t="s">
        <v>41</v>
      </c>
    </row>
    <row r="46" spans="1:22" ht="13.75" thickBot="1">
      <c r="A46" s="10"/>
      <c r="B46" s="1159"/>
      <c r="C46" s="1160"/>
      <c r="D46" s="1161"/>
      <c r="E46" s="1155"/>
      <c r="F46" s="498" t="s">
        <v>315</v>
      </c>
      <c r="G46" s="499" t="s">
        <v>43</v>
      </c>
      <c r="H46" s="500" t="s">
        <v>41</v>
      </c>
      <c r="I46" s="499" t="s">
        <v>43</v>
      </c>
      <c r="J46" s="500" t="s">
        <v>41</v>
      </c>
      <c r="K46" s="499" t="s">
        <v>43</v>
      </c>
      <c r="L46" s="500" t="s">
        <v>41</v>
      </c>
      <c r="M46" s="499" t="s">
        <v>43</v>
      </c>
      <c r="N46" s="500" t="s">
        <v>41</v>
      </c>
      <c r="O46" s="479">
        <v>300</v>
      </c>
      <c r="P46" s="480" t="s">
        <v>595</v>
      </c>
      <c r="Q46" s="479">
        <v>300</v>
      </c>
      <c r="R46" s="501" t="s">
        <v>117</v>
      </c>
      <c r="S46" s="502">
        <v>300</v>
      </c>
      <c r="T46" s="503" t="s">
        <v>40</v>
      </c>
      <c r="U46" s="504">
        <v>300</v>
      </c>
      <c r="V46" s="505" t="s">
        <v>40</v>
      </c>
    </row>
    <row r="47" spans="1:22" ht="13.3">
      <c r="A47" s="10"/>
      <c r="B47" s="1147" t="s">
        <v>308</v>
      </c>
      <c r="C47" s="1148"/>
      <c r="D47" s="1149"/>
      <c r="E47" s="1145" t="s">
        <v>184</v>
      </c>
      <c r="F47" s="506" t="s">
        <v>313</v>
      </c>
      <c r="G47" s="507" t="s">
        <v>43</v>
      </c>
      <c r="H47" s="508" t="s">
        <v>41</v>
      </c>
      <c r="I47" s="507" t="s">
        <v>43</v>
      </c>
      <c r="J47" s="508" t="s">
        <v>41</v>
      </c>
      <c r="K47" s="507" t="s">
        <v>43</v>
      </c>
      <c r="L47" s="508" t="s">
        <v>41</v>
      </c>
      <c r="M47" s="507" t="s">
        <v>43</v>
      </c>
      <c r="N47" s="508" t="s">
        <v>41</v>
      </c>
      <c r="O47" s="509">
        <v>128</v>
      </c>
      <c r="P47" s="489" t="s">
        <v>595</v>
      </c>
      <c r="Q47" s="509">
        <v>128</v>
      </c>
      <c r="R47" s="510" t="s">
        <v>40</v>
      </c>
      <c r="S47" s="511" t="s">
        <v>43</v>
      </c>
      <c r="T47" s="478" t="s">
        <v>41</v>
      </c>
      <c r="U47" s="512" t="s">
        <v>43</v>
      </c>
      <c r="V47" s="513" t="s">
        <v>41</v>
      </c>
    </row>
    <row r="48" spans="1:22" ht="13.3">
      <c r="A48" s="10"/>
      <c r="B48" s="1147"/>
      <c r="C48" s="1148"/>
      <c r="D48" s="1149"/>
      <c r="E48" s="1145"/>
      <c r="F48" s="469" t="s">
        <v>314</v>
      </c>
      <c r="G48" s="470" t="s">
        <v>43</v>
      </c>
      <c r="H48" s="471" t="s">
        <v>41</v>
      </c>
      <c r="I48" s="470" t="s">
        <v>43</v>
      </c>
      <c r="J48" s="471" t="s">
        <v>41</v>
      </c>
      <c r="K48" s="470" t="s">
        <v>43</v>
      </c>
      <c r="L48" s="471" t="s">
        <v>41</v>
      </c>
      <c r="M48" s="470" t="s">
        <v>43</v>
      </c>
      <c r="N48" s="471" t="s">
        <v>41</v>
      </c>
      <c r="O48" s="472">
        <v>100</v>
      </c>
      <c r="P48" s="480" t="s">
        <v>595</v>
      </c>
      <c r="Q48" s="472">
        <v>100</v>
      </c>
      <c r="R48" s="473" t="s">
        <v>40</v>
      </c>
      <c r="S48" s="472">
        <v>100</v>
      </c>
      <c r="T48" s="473" t="s">
        <v>40</v>
      </c>
      <c r="U48" s="475" t="s">
        <v>43</v>
      </c>
      <c r="V48" s="476" t="s">
        <v>41</v>
      </c>
    </row>
    <row r="49" spans="1:22" ht="13.75" thickBot="1">
      <c r="A49" s="10"/>
      <c r="B49" s="1147"/>
      <c r="C49" s="1148"/>
      <c r="D49" s="1149"/>
      <c r="E49" s="1146"/>
      <c r="F49" s="506" t="s">
        <v>315</v>
      </c>
      <c r="G49" s="507" t="s">
        <v>43</v>
      </c>
      <c r="H49" s="508" t="s">
        <v>41</v>
      </c>
      <c r="I49" s="507" t="s">
        <v>43</v>
      </c>
      <c r="J49" s="508" t="s">
        <v>41</v>
      </c>
      <c r="K49" s="507" t="s">
        <v>43</v>
      </c>
      <c r="L49" s="508" t="s">
        <v>41</v>
      </c>
      <c r="M49" s="507" t="s">
        <v>43</v>
      </c>
      <c r="N49" s="508" t="s">
        <v>41</v>
      </c>
      <c r="O49" s="488">
        <v>60</v>
      </c>
      <c r="P49" s="480" t="s">
        <v>595</v>
      </c>
      <c r="Q49" s="488">
        <v>60</v>
      </c>
      <c r="R49" s="514" t="s">
        <v>42</v>
      </c>
      <c r="S49" s="509">
        <v>60</v>
      </c>
      <c r="T49" s="510" t="s">
        <v>40</v>
      </c>
      <c r="U49" s="515">
        <v>60</v>
      </c>
      <c r="V49" s="516" t="s">
        <v>40</v>
      </c>
    </row>
    <row r="50" spans="1:22" ht="12.9" thickBot="1">
      <c r="A50" s="10"/>
      <c r="B50" s="1139" t="s">
        <v>37</v>
      </c>
      <c r="C50" s="1140"/>
      <c r="D50" s="1140"/>
      <c r="E50" s="1141" t="s">
        <v>39</v>
      </c>
      <c r="F50" s="1142"/>
      <c r="G50" s="1143" t="s">
        <v>44</v>
      </c>
      <c r="H50" s="1144"/>
      <c r="I50" s="1143" t="s">
        <v>44</v>
      </c>
      <c r="J50" s="1144"/>
      <c r="K50" s="534" t="s">
        <v>44</v>
      </c>
      <c r="L50" s="535"/>
      <c r="M50" s="534" t="s">
        <v>44</v>
      </c>
      <c r="N50" s="535"/>
      <c r="O50" s="534" t="s">
        <v>44</v>
      </c>
      <c r="P50" s="535"/>
      <c r="Q50" s="534" t="s">
        <v>44</v>
      </c>
      <c r="R50" s="535"/>
      <c r="S50" s="534" t="s">
        <v>44</v>
      </c>
      <c r="T50" s="535"/>
      <c r="U50" s="534" t="s">
        <v>44</v>
      </c>
      <c r="V50" s="535"/>
    </row>
    <row r="51" spans="1:22">
      <c r="A51" s="10"/>
      <c r="B51" s="1134" t="s">
        <v>51</v>
      </c>
      <c r="C51" s="1135"/>
      <c r="D51" s="1135"/>
      <c r="E51" s="1135"/>
      <c r="F51" s="1135"/>
      <c r="G51" s="1135"/>
      <c r="H51" s="1135"/>
      <c r="I51" s="1135"/>
      <c r="J51" s="1135"/>
      <c r="K51" s="1135"/>
      <c r="L51" s="1136"/>
      <c r="M51" s="10"/>
      <c r="N51" s="10"/>
      <c r="O51" s="10"/>
      <c r="P51" s="10"/>
      <c r="Q51" s="10"/>
      <c r="R51" s="10"/>
      <c r="S51" s="10"/>
      <c r="T51" s="10"/>
      <c r="U51" s="10"/>
      <c r="V51" s="10"/>
    </row>
    <row r="52" spans="1:22" ht="13.3">
      <c r="A52" s="10"/>
      <c r="B52" s="451" t="s">
        <v>592</v>
      </c>
      <c r="C52" s="452"/>
      <c r="D52" s="452"/>
      <c r="E52" s="452"/>
      <c r="F52" s="452"/>
      <c r="G52" s="452"/>
      <c r="H52" s="452"/>
      <c r="I52" s="452"/>
      <c r="J52" s="452"/>
      <c r="K52" s="452"/>
      <c r="L52" s="452"/>
      <c r="M52" s="10"/>
      <c r="N52" s="10"/>
      <c r="O52" s="10"/>
      <c r="P52" s="10"/>
      <c r="Q52" s="10"/>
      <c r="R52" s="10"/>
      <c r="S52" s="10"/>
      <c r="T52" s="10"/>
      <c r="U52" s="10"/>
      <c r="V52" s="10"/>
    </row>
    <row r="53" spans="1:22" ht="13.3">
      <c r="A53" s="10"/>
      <c r="B53" s="517" t="s">
        <v>593</v>
      </c>
      <c r="C53" s="10"/>
      <c r="D53" s="10"/>
      <c r="E53" s="10"/>
      <c r="F53" s="10"/>
      <c r="G53" s="10"/>
      <c r="H53" s="10"/>
      <c r="I53" s="10"/>
      <c r="J53" s="10"/>
      <c r="K53" s="10"/>
      <c r="L53" s="10"/>
      <c r="M53" s="10"/>
      <c r="N53" s="10"/>
      <c r="O53" s="10"/>
      <c r="P53" s="10"/>
      <c r="Q53" s="10"/>
      <c r="R53" s="10"/>
      <c r="S53" s="10"/>
      <c r="T53" s="10"/>
      <c r="U53" s="10"/>
      <c r="V53" s="10"/>
    </row>
    <row r="54" spans="1:22" ht="13.3">
      <c r="A54" s="10"/>
      <c r="B54" s="517" t="s">
        <v>628</v>
      </c>
      <c r="C54" s="10"/>
      <c r="D54" s="10"/>
      <c r="E54" s="10"/>
      <c r="F54" s="10"/>
      <c r="G54" s="10"/>
      <c r="H54" s="10"/>
      <c r="I54" s="10"/>
      <c r="J54" s="10"/>
      <c r="K54" s="10"/>
      <c r="L54" s="10"/>
      <c r="M54" s="10"/>
      <c r="N54" s="10"/>
      <c r="O54" s="10"/>
      <c r="P54" s="10"/>
      <c r="Q54" s="10"/>
      <c r="R54" s="10"/>
      <c r="S54" s="10"/>
      <c r="T54" s="10"/>
      <c r="U54" s="10"/>
      <c r="V54" s="10"/>
    </row>
    <row r="55" spans="1:22">
      <c r="A55" s="10"/>
      <c r="B55" s="10"/>
      <c r="C55" s="10"/>
      <c r="D55" s="10"/>
      <c r="E55" s="10"/>
      <c r="F55" s="10"/>
      <c r="G55" s="10"/>
      <c r="H55" s="10"/>
      <c r="I55" s="10"/>
      <c r="J55" s="10"/>
      <c r="K55" s="10"/>
      <c r="L55" s="10"/>
      <c r="M55" s="10"/>
      <c r="N55" s="10"/>
      <c r="O55" s="10"/>
      <c r="P55" s="10"/>
      <c r="Q55" s="10"/>
      <c r="R55" s="10"/>
      <c r="S55" s="10"/>
      <c r="T55" s="10"/>
      <c r="U55" s="10"/>
      <c r="V55" s="10"/>
    </row>
    <row r="56" spans="1:22">
      <c r="A56" s="10"/>
      <c r="B56" s="10"/>
      <c r="C56" s="10"/>
      <c r="D56" s="10"/>
      <c r="E56" s="10"/>
      <c r="F56" s="10"/>
      <c r="G56" s="10"/>
      <c r="H56" s="10"/>
      <c r="I56" s="10"/>
      <c r="J56" s="10"/>
      <c r="K56" s="10"/>
      <c r="L56" s="10"/>
      <c r="M56" s="10"/>
      <c r="N56" s="10"/>
      <c r="O56" s="10"/>
      <c r="P56" s="10"/>
      <c r="Q56" s="10"/>
      <c r="R56" s="10"/>
      <c r="S56" s="10"/>
      <c r="T56" s="10"/>
      <c r="U56" s="10"/>
      <c r="V56" s="10"/>
    </row>
    <row r="57" spans="1:22">
      <c r="A57" s="10"/>
      <c r="B57" s="10"/>
      <c r="C57" s="10"/>
      <c r="D57" s="10"/>
      <c r="E57" s="10"/>
      <c r="F57" s="10"/>
      <c r="G57" s="10"/>
      <c r="H57" s="10"/>
      <c r="I57" s="10"/>
      <c r="J57" s="10"/>
      <c r="K57" s="10"/>
      <c r="L57" s="10"/>
      <c r="M57" s="10"/>
      <c r="N57" s="10"/>
      <c r="O57" s="10"/>
      <c r="P57" s="10"/>
      <c r="Q57" s="10"/>
      <c r="R57" s="10"/>
      <c r="S57" s="10"/>
      <c r="T57" s="10"/>
      <c r="U57" s="10"/>
      <c r="V57" s="10"/>
    </row>
    <row r="58" spans="1:22">
      <c r="A58" s="10"/>
      <c r="B58" s="10"/>
      <c r="C58" s="10"/>
      <c r="D58" s="10"/>
      <c r="E58" s="10"/>
      <c r="F58" s="10"/>
      <c r="G58" s="10"/>
      <c r="H58" s="10"/>
      <c r="I58" s="10"/>
      <c r="J58" s="10"/>
      <c r="K58" s="10"/>
      <c r="L58" s="10"/>
      <c r="M58" s="10"/>
      <c r="N58" s="10"/>
      <c r="O58" s="10"/>
      <c r="P58" s="10"/>
      <c r="Q58" s="10"/>
      <c r="R58" s="10"/>
      <c r="S58" s="10"/>
      <c r="T58" s="10"/>
      <c r="U58" s="10"/>
      <c r="V58" s="10"/>
    </row>
    <row r="59" spans="1:22">
      <c r="A59" s="10"/>
      <c r="B59" s="10"/>
      <c r="C59" s="10"/>
      <c r="D59" s="10"/>
      <c r="E59" s="10"/>
      <c r="F59" s="10"/>
      <c r="G59" s="10"/>
      <c r="H59" s="10"/>
      <c r="I59" s="10"/>
      <c r="J59" s="10"/>
      <c r="K59" s="10"/>
      <c r="L59" s="10"/>
      <c r="M59" s="10"/>
      <c r="N59" s="10"/>
      <c r="O59" s="10"/>
      <c r="P59" s="10"/>
      <c r="Q59" s="10"/>
      <c r="R59" s="10"/>
      <c r="S59" s="10"/>
      <c r="T59" s="10"/>
      <c r="U59" s="10"/>
      <c r="V59" s="10"/>
    </row>
    <row r="60" spans="1:22">
      <c r="A60" s="10"/>
      <c r="B60" s="10"/>
      <c r="C60" s="10"/>
      <c r="D60" s="10"/>
      <c r="E60" s="10"/>
      <c r="F60" s="10"/>
      <c r="G60" s="10"/>
      <c r="H60" s="10"/>
      <c r="I60" s="10"/>
      <c r="J60" s="10"/>
      <c r="K60" s="10"/>
      <c r="L60" s="10"/>
      <c r="M60" s="10"/>
      <c r="N60" s="10"/>
      <c r="O60" s="10"/>
      <c r="P60" s="10"/>
      <c r="Q60" s="10"/>
      <c r="R60" s="10"/>
      <c r="S60" s="10"/>
      <c r="T60" s="10"/>
      <c r="U60" s="10"/>
      <c r="V60" s="10"/>
    </row>
    <row r="61" spans="1:22">
      <c r="A61" s="10"/>
      <c r="B61" s="10"/>
      <c r="C61" s="10"/>
      <c r="D61" s="10"/>
      <c r="E61" s="10"/>
      <c r="F61" s="10"/>
      <c r="G61" s="10"/>
      <c r="H61" s="10"/>
      <c r="I61" s="10"/>
      <c r="J61" s="10"/>
      <c r="K61" s="10"/>
      <c r="L61" s="10"/>
      <c r="M61" s="10"/>
      <c r="N61" s="10"/>
      <c r="O61" s="10"/>
      <c r="P61" s="10"/>
      <c r="Q61" s="10"/>
      <c r="R61" s="10"/>
      <c r="S61" s="10"/>
      <c r="T61" s="10"/>
      <c r="U61" s="10"/>
      <c r="V61" s="10"/>
    </row>
    <row r="62" spans="1:22">
      <c r="A62" s="10"/>
      <c r="B62" s="10"/>
      <c r="C62" s="10"/>
      <c r="D62" s="10"/>
      <c r="E62" s="10"/>
      <c r="F62" s="10"/>
      <c r="G62" s="10"/>
      <c r="H62" s="10"/>
      <c r="I62" s="10"/>
      <c r="J62" s="10"/>
      <c r="K62" s="10"/>
      <c r="L62" s="10"/>
      <c r="M62" s="10"/>
      <c r="N62" s="10"/>
      <c r="O62" s="10"/>
      <c r="P62" s="10"/>
      <c r="Q62" s="10"/>
      <c r="R62" s="10"/>
      <c r="S62" s="10"/>
      <c r="T62" s="10"/>
      <c r="U62" s="10"/>
      <c r="V62" s="10"/>
    </row>
    <row r="63" spans="1:22">
      <c r="A63" s="10"/>
      <c r="B63" s="10"/>
      <c r="C63" s="10"/>
      <c r="D63" s="10"/>
      <c r="E63" s="10"/>
      <c r="F63" s="10"/>
      <c r="G63" s="10"/>
      <c r="H63" s="10"/>
      <c r="I63" s="10"/>
      <c r="J63" s="10"/>
      <c r="K63" s="10"/>
      <c r="L63" s="10"/>
      <c r="M63" s="10"/>
      <c r="N63" s="10"/>
      <c r="O63" s="10"/>
      <c r="P63" s="10"/>
      <c r="Q63" s="10"/>
      <c r="R63" s="10"/>
      <c r="S63" s="10"/>
      <c r="T63" s="10"/>
      <c r="U63" s="10"/>
      <c r="V63" s="10"/>
    </row>
    <row r="64" spans="1:22">
      <c r="A64" s="10"/>
      <c r="B64" s="10"/>
      <c r="C64" s="10"/>
      <c r="D64" s="10"/>
      <c r="E64" s="10"/>
      <c r="F64" s="10"/>
      <c r="G64" s="10"/>
      <c r="H64" s="10"/>
      <c r="I64" s="10"/>
      <c r="J64" s="10"/>
      <c r="K64" s="10"/>
      <c r="L64" s="10"/>
      <c r="M64" s="10"/>
      <c r="N64" s="10"/>
      <c r="O64" s="10"/>
      <c r="P64" s="10"/>
      <c r="Q64" s="10"/>
      <c r="R64" s="10"/>
      <c r="S64" s="10"/>
      <c r="T64" s="10"/>
      <c r="U64" s="10"/>
      <c r="V64" s="10"/>
    </row>
    <row r="65" spans="1:22">
      <c r="A65" s="10"/>
      <c r="B65" s="10"/>
      <c r="C65" s="10"/>
      <c r="D65" s="10"/>
      <c r="E65" s="10"/>
      <c r="F65" s="10"/>
      <c r="G65" s="10"/>
      <c r="H65" s="10"/>
      <c r="I65" s="10"/>
      <c r="J65" s="10"/>
      <c r="K65" s="10"/>
      <c r="L65" s="10"/>
      <c r="M65" s="10"/>
      <c r="N65" s="10"/>
      <c r="O65" s="10"/>
      <c r="P65" s="10"/>
      <c r="Q65" s="10"/>
      <c r="R65" s="10"/>
      <c r="S65" s="10"/>
      <c r="T65" s="10"/>
      <c r="U65" s="10"/>
      <c r="V65" s="10"/>
    </row>
    <row r="66" spans="1:22">
      <c r="A66" s="10"/>
      <c r="B66" s="10"/>
      <c r="C66" s="10"/>
      <c r="D66" s="10"/>
      <c r="E66" s="10"/>
      <c r="F66" s="10"/>
      <c r="G66" s="10"/>
      <c r="H66" s="10"/>
      <c r="I66" s="10"/>
      <c r="J66" s="10"/>
      <c r="K66" s="10"/>
      <c r="L66" s="10"/>
      <c r="M66" s="10"/>
      <c r="N66" s="10"/>
      <c r="O66" s="10"/>
      <c r="P66" s="10"/>
      <c r="Q66" s="10"/>
      <c r="R66" s="10"/>
      <c r="S66" s="10"/>
      <c r="T66" s="10"/>
      <c r="U66" s="10"/>
      <c r="V66" s="10"/>
    </row>
    <row r="67" spans="1:22">
      <c r="A67" s="10"/>
      <c r="B67" s="10"/>
      <c r="C67" s="10"/>
      <c r="D67" s="10"/>
      <c r="E67" s="10"/>
      <c r="F67" s="10"/>
      <c r="G67" s="10"/>
      <c r="H67" s="10"/>
      <c r="I67" s="10"/>
      <c r="J67" s="10"/>
      <c r="K67" s="10"/>
      <c r="L67" s="10"/>
      <c r="M67" s="10"/>
      <c r="N67" s="10"/>
      <c r="O67" s="10"/>
      <c r="P67" s="10"/>
      <c r="Q67" s="10"/>
      <c r="R67" s="10"/>
      <c r="S67" s="10"/>
      <c r="T67" s="10"/>
      <c r="U67" s="10"/>
      <c r="V67" s="10"/>
    </row>
    <row r="68" spans="1:22">
      <c r="A68" s="10"/>
      <c r="B68" s="10"/>
      <c r="C68" s="10"/>
      <c r="D68" s="10"/>
      <c r="E68" s="10"/>
      <c r="F68" s="10"/>
      <c r="G68" s="10"/>
      <c r="H68" s="10"/>
      <c r="I68" s="10"/>
      <c r="J68" s="10"/>
      <c r="K68" s="10"/>
      <c r="L68" s="10"/>
      <c r="M68" s="10"/>
      <c r="N68" s="10"/>
      <c r="O68" s="10"/>
      <c r="P68" s="10"/>
      <c r="Q68" s="10"/>
      <c r="R68" s="10"/>
      <c r="S68" s="10"/>
      <c r="T68" s="10"/>
      <c r="U68" s="10"/>
      <c r="V68" s="10"/>
    </row>
    <row r="69" spans="1:22">
      <c r="A69" s="10"/>
      <c r="B69" s="10"/>
      <c r="C69" s="10"/>
      <c r="D69" s="10"/>
      <c r="E69" s="10"/>
      <c r="F69" s="10"/>
      <c r="G69" s="10"/>
      <c r="H69" s="10"/>
      <c r="I69" s="10"/>
      <c r="J69" s="10"/>
      <c r="K69" s="10"/>
      <c r="L69" s="10"/>
      <c r="M69" s="10"/>
      <c r="N69" s="10"/>
      <c r="O69" s="10"/>
      <c r="P69" s="10"/>
      <c r="Q69" s="10"/>
      <c r="R69" s="10"/>
      <c r="S69" s="10"/>
      <c r="T69" s="10"/>
      <c r="U69" s="10"/>
      <c r="V69" s="10"/>
    </row>
    <row r="70" spans="1:22">
      <c r="A70" s="10"/>
      <c r="B70" s="10"/>
      <c r="C70" s="10"/>
      <c r="D70" s="10"/>
      <c r="E70" s="10"/>
      <c r="F70" s="10"/>
      <c r="G70" s="10"/>
      <c r="H70" s="10"/>
      <c r="I70" s="10"/>
      <c r="J70" s="10"/>
      <c r="K70" s="10"/>
      <c r="L70" s="10"/>
      <c r="M70" s="10"/>
      <c r="N70" s="10"/>
      <c r="O70" s="10"/>
      <c r="P70" s="10"/>
      <c r="Q70" s="10"/>
      <c r="R70" s="10"/>
      <c r="S70" s="10"/>
      <c r="T70" s="10"/>
      <c r="U70" s="10"/>
      <c r="V70" s="10"/>
    </row>
    <row r="71" spans="1:22">
      <c r="A71" s="10"/>
      <c r="B71" s="10"/>
      <c r="C71" s="10"/>
      <c r="D71" s="10"/>
      <c r="E71" s="10"/>
      <c r="F71" s="10"/>
      <c r="G71" s="10"/>
      <c r="H71" s="10"/>
      <c r="I71" s="10"/>
      <c r="J71" s="10"/>
      <c r="K71" s="10"/>
      <c r="L71" s="10"/>
      <c r="M71" s="10"/>
      <c r="N71" s="10"/>
      <c r="O71" s="10"/>
      <c r="P71" s="10"/>
      <c r="Q71" s="10"/>
      <c r="R71" s="10"/>
      <c r="S71" s="10"/>
      <c r="T71" s="10"/>
      <c r="U71" s="10"/>
      <c r="V71" s="10"/>
    </row>
    <row r="72" spans="1:22">
      <c r="A72" s="10"/>
      <c r="B72" s="10"/>
      <c r="C72" s="10"/>
      <c r="D72" s="10"/>
      <c r="E72" s="10"/>
      <c r="F72" s="10"/>
      <c r="G72" s="10"/>
      <c r="H72" s="10"/>
      <c r="I72" s="10"/>
      <c r="J72" s="10"/>
      <c r="K72" s="10"/>
      <c r="L72" s="10"/>
      <c r="M72" s="10"/>
      <c r="N72" s="10"/>
      <c r="O72" s="10"/>
      <c r="P72" s="10"/>
      <c r="Q72" s="10"/>
      <c r="R72" s="10"/>
      <c r="S72" s="10"/>
      <c r="T72" s="10"/>
      <c r="U72" s="10"/>
      <c r="V72" s="10"/>
    </row>
    <row r="73" spans="1:22">
      <c r="A73" s="10"/>
      <c r="B73" s="10"/>
      <c r="C73" s="10"/>
      <c r="D73" s="10"/>
      <c r="E73" s="10"/>
      <c r="F73" s="10"/>
      <c r="G73" s="10"/>
      <c r="H73" s="10"/>
      <c r="I73" s="10"/>
      <c r="J73" s="10"/>
      <c r="K73" s="10"/>
      <c r="L73" s="10"/>
      <c r="M73" s="10"/>
      <c r="N73" s="10"/>
      <c r="O73" s="10"/>
      <c r="P73" s="10"/>
      <c r="Q73" s="10"/>
      <c r="R73" s="10"/>
      <c r="S73" s="10"/>
      <c r="T73" s="10"/>
      <c r="U73" s="10"/>
      <c r="V73" s="10"/>
    </row>
    <row r="74" spans="1:22">
      <c r="A74" s="10"/>
      <c r="B74" s="10"/>
      <c r="C74" s="10"/>
      <c r="D74" s="10"/>
      <c r="E74" s="10"/>
      <c r="F74" s="10"/>
      <c r="G74" s="10"/>
      <c r="H74" s="10"/>
      <c r="I74" s="10"/>
      <c r="J74" s="10"/>
      <c r="K74" s="10"/>
      <c r="L74" s="10"/>
      <c r="M74" s="10"/>
      <c r="N74" s="10"/>
      <c r="O74" s="10"/>
      <c r="P74" s="10"/>
      <c r="Q74" s="10"/>
      <c r="R74" s="10"/>
      <c r="S74" s="10"/>
      <c r="T74" s="10"/>
      <c r="U74" s="10"/>
      <c r="V74" s="10"/>
    </row>
    <row r="75" spans="1:22">
      <c r="A75" s="10"/>
      <c r="B75" s="10"/>
      <c r="C75" s="10"/>
      <c r="D75" s="10"/>
      <c r="E75" s="10"/>
      <c r="F75" s="10"/>
      <c r="G75" s="10"/>
      <c r="H75" s="10"/>
      <c r="I75" s="10"/>
      <c r="J75" s="10"/>
      <c r="K75" s="10"/>
      <c r="L75" s="10"/>
      <c r="M75" s="10"/>
      <c r="N75" s="10"/>
      <c r="O75" s="10"/>
      <c r="P75" s="10"/>
      <c r="Q75" s="10"/>
      <c r="R75" s="10"/>
      <c r="S75" s="10"/>
      <c r="T75" s="10"/>
      <c r="U75" s="10"/>
      <c r="V75" s="10"/>
    </row>
    <row r="76" spans="1:22">
      <c r="A76" s="10"/>
      <c r="B76" s="10"/>
      <c r="C76" s="10"/>
      <c r="D76" s="10"/>
      <c r="E76" s="10"/>
      <c r="F76" s="10"/>
      <c r="G76" s="10"/>
      <c r="H76" s="10"/>
      <c r="I76" s="10"/>
      <c r="J76" s="10"/>
      <c r="K76" s="10"/>
      <c r="L76" s="10"/>
      <c r="M76" s="10"/>
      <c r="N76" s="10"/>
      <c r="O76" s="10"/>
      <c r="P76" s="10"/>
      <c r="Q76" s="10"/>
      <c r="R76" s="10"/>
      <c r="S76" s="10"/>
      <c r="T76" s="10"/>
      <c r="U76" s="10"/>
      <c r="V76" s="10"/>
    </row>
    <row r="77" spans="1:22">
      <c r="A77" s="10"/>
      <c r="B77" s="10"/>
      <c r="C77" s="10"/>
      <c r="D77" s="10"/>
      <c r="E77" s="10"/>
      <c r="F77" s="10"/>
      <c r="G77" s="10"/>
      <c r="H77" s="10"/>
      <c r="I77" s="10"/>
      <c r="J77" s="10"/>
      <c r="K77" s="10"/>
      <c r="L77" s="10"/>
      <c r="M77" s="10"/>
      <c r="N77" s="10"/>
      <c r="O77" s="10"/>
      <c r="P77" s="10"/>
      <c r="Q77" s="10"/>
      <c r="R77" s="10"/>
      <c r="S77" s="10"/>
      <c r="T77" s="10"/>
      <c r="U77" s="10"/>
      <c r="V77" s="10"/>
    </row>
    <row r="78" spans="1:22">
      <c r="A78" s="10"/>
      <c r="B78" s="10"/>
      <c r="C78" s="10"/>
      <c r="D78" s="10"/>
      <c r="E78" s="10"/>
      <c r="F78" s="10"/>
      <c r="G78" s="10"/>
      <c r="H78" s="10"/>
      <c r="I78" s="10"/>
      <c r="J78" s="10"/>
      <c r="K78" s="10"/>
      <c r="L78" s="10"/>
      <c r="M78" s="10"/>
      <c r="N78" s="10"/>
      <c r="O78" s="10"/>
      <c r="P78" s="10"/>
      <c r="Q78" s="10"/>
      <c r="R78" s="10"/>
      <c r="S78" s="10"/>
      <c r="T78" s="10"/>
      <c r="U78" s="10"/>
      <c r="V78" s="10"/>
    </row>
  </sheetData>
  <sheetProtection algorithmName="SHA-512" hashValue="DcdbsZzOqVlku/hpUC9fBiGQZIo8/b6eiNRsXfPFAOT3TLDjQTrMqUrPh8rTUvNxZGVe0OTLB2iAVCSK473tHw==" saltValue="WLQPjNciWN+lI2Q/iQgfEQ==" spinCount="100000" sheet="1" objects="1" scenarios="1"/>
  <mergeCells count="76">
    <mergeCell ref="U30:V30"/>
    <mergeCell ref="B39:D40"/>
    <mergeCell ref="B33:D33"/>
    <mergeCell ref="E14:F14"/>
    <mergeCell ref="O30:P30"/>
    <mergeCell ref="Q30:R30"/>
    <mergeCell ref="S30:T30"/>
    <mergeCell ref="B14:D14"/>
    <mergeCell ref="B29:C29"/>
    <mergeCell ref="B34:D34"/>
    <mergeCell ref="B15:D15"/>
    <mergeCell ref="E15:F15"/>
    <mergeCell ref="I50:J50"/>
    <mergeCell ref="E41:E43"/>
    <mergeCell ref="M30:N30"/>
    <mergeCell ref="I30:J30"/>
    <mergeCell ref="E16:F16"/>
    <mergeCell ref="E37:E38"/>
    <mergeCell ref="E39:E40"/>
    <mergeCell ref="E18:F18"/>
    <mergeCell ref="B2:C2"/>
    <mergeCell ref="B22:D22"/>
    <mergeCell ref="B23:D23"/>
    <mergeCell ref="E23:F23"/>
    <mergeCell ref="B20:D20"/>
    <mergeCell ref="B21:D21"/>
    <mergeCell ref="E20:F20"/>
    <mergeCell ref="E21:F21"/>
    <mergeCell ref="E22:F22"/>
    <mergeCell ref="E3:F4"/>
    <mergeCell ref="E9:F9"/>
    <mergeCell ref="B3:D4"/>
    <mergeCell ref="B19:D19"/>
    <mergeCell ref="B17:D17"/>
    <mergeCell ref="E17:F17"/>
    <mergeCell ref="E10:F10"/>
    <mergeCell ref="B51:L51"/>
    <mergeCell ref="K30:L30"/>
    <mergeCell ref="B50:D50"/>
    <mergeCell ref="E50:F50"/>
    <mergeCell ref="G50:H50"/>
    <mergeCell ref="E47:E49"/>
    <mergeCell ref="B47:D49"/>
    <mergeCell ref="F30:F31"/>
    <mergeCell ref="G30:H30"/>
    <mergeCell ref="E44:E46"/>
    <mergeCell ref="B44:D46"/>
    <mergeCell ref="B41:D43"/>
    <mergeCell ref="B30:D31"/>
    <mergeCell ref="E30:E31"/>
    <mergeCell ref="B37:D38"/>
    <mergeCell ref="B32:D32"/>
    <mergeCell ref="H3:P3"/>
    <mergeCell ref="B9:D9"/>
    <mergeCell ref="B10:D10"/>
    <mergeCell ref="B36:D36"/>
    <mergeCell ref="B18:D18"/>
    <mergeCell ref="B24:L24"/>
    <mergeCell ref="E19:F19"/>
    <mergeCell ref="B35:D35"/>
    <mergeCell ref="E11:F11"/>
    <mergeCell ref="E12:F12"/>
    <mergeCell ref="E13:F13"/>
    <mergeCell ref="B11:D11"/>
    <mergeCell ref="B12:D12"/>
    <mergeCell ref="B13:D13"/>
    <mergeCell ref="B16:D16"/>
    <mergeCell ref="B8:D8"/>
    <mergeCell ref="E8:F8"/>
    <mergeCell ref="B7:D7"/>
    <mergeCell ref="E7:F7"/>
    <mergeCell ref="G3:G4"/>
    <mergeCell ref="E6:F6"/>
    <mergeCell ref="B6:D6"/>
    <mergeCell ref="E5:F5"/>
    <mergeCell ref="B5:D5"/>
  </mergeCells>
  <phoneticPr fontId="34" type="noConversion"/>
  <hyperlinks>
    <hyperlink ref="R4" r:id="rId1" xr:uid="{00000000-0004-0000-0400-000000000000}"/>
    <hyperlink ref="R3" r:id="rId2" xr:uid="{00000000-0004-0000-0400-000001000000}"/>
  </hyperlinks>
  <pageMargins left="0.75" right="0.75" top="1" bottom="1" header="0.5" footer="0.5"/>
  <pageSetup orientation="portrait" r:id="rId3"/>
  <headerFooter alignWithMargins="0"/>
  <drawing r:id="rId4"/>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Q67"/>
  <sheetViews>
    <sheetView workbookViewId="0"/>
  </sheetViews>
  <sheetFormatPr baseColWidth="10" defaultColWidth="8.84375" defaultRowHeight="12.45"/>
  <cols>
    <col min="1" max="1" width="15.69140625" customWidth="1"/>
    <col min="2" max="2" width="7.69140625" customWidth="1"/>
    <col min="3" max="3" width="13.69140625" customWidth="1"/>
    <col min="4" max="17" width="7.69140625" customWidth="1"/>
  </cols>
  <sheetData>
    <row r="1" spans="2:17" ht="12.9" thickBot="1"/>
    <row r="2" spans="2:17" ht="13.3" thickTop="1" thickBot="1">
      <c r="B2" s="124" t="s">
        <v>149</v>
      </c>
      <c r="C2" s="125"/>
      <c r="D2" s="125"/>
      <c r="E2" s="1260" t="s">
        <v>198</v>
      </c>
      <c r="F2" s="1261"/>
      <c r="G2" s="1261"/>
      <c r="H2" s="1261"/>
      <c r="I2" s="1261"/>
      <c r="J2" s="1261"/>
      <c r="K2" s="1262"/>
      <c r="L2" s="1263" t="s">
        <v>200</v>
      </c>
      <c r="M2" s="1264"/>
      <c r="N2" s="1265"/>
      <c r="O2" s="1257" t="s">
        <v>199</v>
      </c>
      <c r="P2" s="1258"/>
      <c r="Q2" s="1259"/>
    </row>
    <row r="3" spans="2:17" ht="12.9" thickBot="1">
      <c r="B3" s="126"/>
      <c r="C3" s="17"/>
      <c r="D3" s="17"/>
      <c r="E3" s="1281" t="s">
        <v>12</v>
      </c>
      <c r="F3" s="1237"/>
      <c r="G3" s="1282" t="s">
        <v>14</v>
      </c>
      <c r="H3" s="1283"/>
      <c r="I3" s="1283"/>
      <c r="J3" s="1283"/>
      <c r="K3" s="1284"/>
      <c r="L3" s="114">
        <v>3592</v>
      </c>
      <c r="M3" s="1282" t="s">
        <v>14</v>
      </c>
      <c r="N3" s="1284"/>
      <c r="O3" s="1278" t="s">
        <v>202</v>
      </c>
      <c r="P3" s="102">
        <v>3592</v>
      </c>
      <c r="Q3" s="109" t="s">
        <v>14</v>
      </c>
    </row>
    <row r="4" spans="2:17">
      <c r="B4" s="1203" t="s">
        <v>21</v>
      </c>
      <c r="C4" s="1204"/>
      <c r="D4" s="1209" t="s">
        <v>52</v>
      </c>
      <c r="E4" s="1212" t="s">
        <v>54</v>
      </c>
      <c r="F4" s="1204"/>
      <c r="G4" s="1287" t="s">
        <v>0</v>
      </c>
      <c r="H4" s="1237"/>
      <c r="I4" s="1288"/>
      <c r="J4" s="1204" t="s">
        <v>56</v>
      </c>
      <c r="K4" s="1285"/>
      <c r="L4" s="1272" t="s">
        <v>55</v>
      </c>
      <c r="M4" s="1269" t="s">
        <v>13</v>
      </c>
      <c r="N4" s="1266" t="s">
        <v>128</v>
      </c>
      <c r="O4" s="1279"/>
      <c r="P4" s="1212" t="s">
        <v>196</v>
      </c>
      <c r="Q4" s="1275" t="s">
        <v>197</v>
      </c>
    </row>
    <row r="5" spans="2:17" ht="12.75" customHeight="1">
      <c r="B5" s="1205"/>
      <c r="C5" s="1206"/>
      <c r="D5" s="1210"/>
      <c r="E5" s="1213"/>
      <c r="F5" s="1206"/>
      <c r="G5" s="107" t="s">
        <v>16</v>
      </c>
      <c r="H5" s="1289" t="s">
        <v>17</v>
      </c>
      <c r="I5" s="1289"/>
      <c r="J5" s="1206"/>
      <c r="K5" s="1286"/>
      <c r="L5" s="1273"/>
      <c r="M5" s="1270"/>
      <c r="N5" s="1267"/>
      <c r="O5" s="1279"/>
      <c r="P5" s="1213"/>
      <c r="Q5" s="1276"/>
    </row>
    <row r="6" spans="2:17" ht="25.3" thickBot="1">
      <c r="B6" s="1207"/>
      <c r="C6" s="1208"/>
      <c r="D6" s="1211"/>
      <c r="E6" s="32" t="s">
        <v>11</v>
      </c>
      <c r="F6" s="103" t="s">
        <v>10</v>
      </c>
      <c r="G6" s="108"/>
      <c r="H6" s="33" t="s">
        <v>20</v>
      </c>
      <c r="I6" s="33" t="s">
        <v>26</v>
      </c>
      <c r="J6" s="33" t="s">
        <v>18</v>
      </c>
      <c r="K6" s="127" t="s">
        <v>19</v>
      </c>
      <c r="L6" s="1274"/>
      <c r="M6" s="1271"/>
      <c r="N6" s="1268"/>
      <c r="O6" s="1280"/>
      <c r="P6" s="1290"/>
      <c r="Q6" s="1277"/>
    </row>
    <row r="7" spans="2:17">
      <c r="B7" s="1236" t="s">
        <v>2</v>
      </c>
      <c r="C7" s="1237"/>
      <c r="D7" s="40" t="s">
        <v>6</v>
      </c>
      <c r="E7" s="31">
        <v>58</v>
      </c>
      <c r="F7" s="104"/>
      <c r="G7" s="104"/>
      <c r="H7" s="34"/>
      <c r="I7" s="34"/>
      <c r="J7" s="24">
        <v>64</v>
      </c>
      <c r="K7" s="128"/>
      <c r="L7" s="115"/>
      <c r="M7" s="34"/>
      <c r="N7" s="116"/>
      <c r="O7" s="110" t="s">
        <v>201</v>
      </c>
      <c r="P7" s="15">
        <v>600</v>
      </c>
      <c r="Q7" s="111">
        <v>660</v>
      </c>
    </row>
    <row r="8" spans="2:17">
      <c r="B8" s="1250" t="s">
        <v>3</v>
      </c>
      <c r="C8" s="1251"/>
      <c r="D8" s="41" t="s">
        <v>6</v>
      </c>
      <c r="E8" s="36">
        <v>117</v>
      </c>
      <c r="F8" s="105"/>
      <c r="G8" s="105"/>
      <c r="H8" s="35"/>
      <c r="I8" s="35"/>
      <c r="J8" s="43">
        <v>129</v>
      </c>
      <c r="K8" s="129"/>
      <c r="L8" s="117"/>
      <c r="M8" s="35"/>
      <c r="N8" s="118"/>
      <c r="O8" s="112" t="s">
        <v>4</v>
      </c>
      <c r="P8" s="39">
        <v>1000</v>
      </c>
      <c r="Q8" s="113">
        <v>1320</v>
      </c>
    </row>
    <row r="9" spans="2:17">
      <c r="B9" s="1205" t="s">
        <v>4</v>
      </c>
      <c r="C9" s="1206"/>
      <c r="D9" s="42">
        <v>0</v>
      </c>
      <c r="E9" s="37">
        <v>260</v>
      </c>
      <c r="F9" s="106">
        <v>222</v>
      </c>
      <c r="G9" s="106">
        <v>141</v>
      </c>
      <c r="H9" s="38">
        <v>281</v>
      </c>
      <c r="I9" s="38">
        <v>229</v>
      </c>
      <c r="J9" s="38">
        <v>287</v>
      </c>
      <c r="K9" s="130">
        <v>245</v>
      </c>
      <c r="L9" s="119">
        <v>400</v>
      </c>
      <c r="M9" s="43">
        <v>440</v>
      </c>
      <c r="N9" s="120">
        <v>440</v>
      </c>
      <c r="O9" s="1223"/>
      <c r="P9" s="1225"/>
      <c r="Q9" s="1228"/>
    </row>
    <row r="10" spans="2:17">
      <c r="B10" s="1205"/>
      <c r="C10" s="1206"/>
      <c r="D10" s="42" t="s">
        <v>9</v>
      </c>
      <c r="E10" s="37">
        <v>260</v>
      </c>
      <c r="F10" s="106">
        <v>222</v>
      </c>
      <c r="G10" s="106">
        <v>141</v>
      </c>
      <c r="H10" s="38">
        <v>281</v>
      </c>
      <c r="I10" s="38">
        <v>229</v>
      </c>
      <c r="J10" s="38">
        <v>287</v>
      </c>
      <c r="K10" s="130">
        <v>245</v>
      </c>
      <c r="L10" s="119">
        <v>383</v>
      </c>
      <c r="M10" s="43">
        <v>423</v>
      </c>
      <c r="N10" s="120">
        <v>422</v>
      </c>
      <c r="O10" s="1223"/>
      <c r="P10" s="1226"/>
      <c r="Q10" s="1229"/>
    </row>
    <row r="11" spans="2:17">
      <c r="B11" s="1205"/>
      <c r="C11" s="1206"/>
      <c r="D11" s="42" t="s">
        <v>7</v>
      </c>
      <c r="E11" s="37">
        <v>248</v>
      </c>
      <c r="F11" s="106">
        <v>210</v>
      </c>
      <c r="G11" s="106">
        <v>113</v>
      </c>
      <c r="H11" s="38">
        <v>253</v>
      </c>
      <c r="I11" s="38">
        <v>201</v>
      </c>
      <c r="J11" s="38">
        <v>273</v>
      </c>
      <c r="K11" s="130">
        <v>231</v>
      </c>
      <c r="L11" s="119">
        <v>371</v>
      </c>
      <c r="M11" s="43">
        <v>409</v>
      </c>
      <c r="N11" s="120">
        <v>408</v>
      </c>
      <c r="O11" s="1223"/>
      <c r="P11" s="1226"/>
      <c r="Q11" s="1229"/>
    </row>
    <row r="12" spans="2:17" ht="12.9" thickBot="1">
      <c r="B12" s="1252"/>
      <c r="C12" s="1253"/>
      <c r="D12" s="131" t="s">
        <v>8</v>
      </c>
      <c r="E12" s="132">
        <v>237</v>
      </c>
      <c r="F12" s="133">
        <v>199</v>
      </c>
      <c r="G12" s="133">
        <v>87</v>
      </c>
      <c r="H12" s="134">
        <v>227</v>
      </c>
      <c r="I12" s="134">
        <v>175</v>
      </c>
      <c r="J12" s="134">
        <v>261</v>
      </c>
      <c r="K12" s="135">
        <v>219</v>
      </c>
      <c r="L12" s="121">
        <v>360</v>
      </c>
      <c r="M12" s="122">
        <v>396</v>
      </c>
      <c r="N12" s="123">
        <v>396</v>
      </c>
      <c r="O12" s="1224"/>
      <c r="P12" s="1227"/>
      <c r="Q12" s="1230"/>
    </row>
    <row r="13" spans="2:17" ht="12.9" thickTop="1">
      <c r="B13" s="1214" t="s">
        <v>238</v>
      </c>
      <c r="C13" s="1215"/>
      <c r="D13" s="1215"/>
      <c r="E13" s="1215"/>
      <c r="F13" s="1215"/>
      <c r="G13" s="1215"/>
      <c r="H13" s="1215"/>
      <c r="I13" s="1215"/>
      <c r="J13" s="1215"/>
      <c r="K13" s="1215"/>
      <c r="L13" s="1215"/>
      <c r="M13" s="1215"/>
      <c r="N13" s="1215"/>
      <c r="O13" s="1215"/>
      <c r="P13" s="1215"/>
      <c r="Q13" s="1215"/>
    </row>
    <row r="14" spans="2:17">
      <c r="B14" s="1216"/>
      <c r="C14" s="1216"/>
      <c r="D14" s="1216"/>
      <c r="E14" s="1216"/>
      <c r="F14" s="1216"/>
      <c r="G14" s="1216"/>
      <c r="H14" s="1216"/>
      <c r="I14" s="1216"/>
      <c r="J14" s="1216"/>
      <c r="K14" s="1216"/>
      <c r="L14" s="1216"/>
      <c r="M14" s="1216"/>
      <c r="N14" s="1216"/>
      <c r="O14" s="1216"/>
      <c r="P14" s="1216"/>
      <c r="Q14" s="1216"/>
    </row>
    <row r="15" spans="2:17">
      <c r="B15" t="s">
        <v>30</v>
      </c>
      <c r="C15" s="3"/>
      <c r="D15" s="9">
        <f>IF('TS3500'!F10=Names!C73,1,IF('TS3500'!F10=Names!C74,2,3+ROUNDUP('TS3500'!F9/4,0)))</f>
        <v>4</v>
      </c>
      <c r="G15" s="2"/>
    </row>
    <row r="16" spans="2:17">
      <c r="B16" t="s">
        <v>31</v>
      </c>
      <c r="C16" s="3"/>
      <c r="D16" s="10">
        <f>IF(OR('TS3500'!$F$7="L22",'TS3500'!$F$7="L23"),1, IF('TS3500'!$F$7="L32",3,6))+IF(OR('TS3500'!$F$11=Names!C102,'TS3500'!$F$11=Names!C118), 0, IF(OR('TS3500'!$F$11=Names!C103, 'TS3500'!$F$11=Names!C119, 'TS3500'!$F$11=TSL53FullIOMixed, 'TS3500'!$F$11=TSL23FullIOMixed),1,IF('TS3500'!$F$10=Names!$C$91,0,IF('TS3500'!$F$11=Names!$C$130,1,2))))</f>
        <v>1</v>
      </c>
    </row>
    <row r="17" spans="1:17">
      <c r="C17" s="3"/>
      <c r="D17" s="10"/>
    </row>
    <row r="18" spans="1:17">
      <c r="A18" s="11" t="s">
        <v>244</v>
      </c>
      <c r="C18" s="3"/>
      <c r="D18" s="62">
        <f ca="1">IF(OR('TS3500'!$F$7="L32", 'TS3500'!$F$7="L52", 'TS3500'!$F$7="L22"),1,0) + COUNTIF(INDIRECT(FType02to),"=D32") + COUNTIF(INDIRECT(FType02to),"=D52") + COUNTIF(INDIRECT(FType02to),"=D22")</f>
        <v>0</v>
      </c>
    </row>
    <row r="19" spans="1:17">
      <c r="C19" s="4"/>
      <c r="D19" s="4"/>
    </row>
    <row r="20" spans="1:17">
      <c r="A20" t="s">
        <v>126</v>
      </c>
      <c r="C20" s="4"/>
      <c r="D20" s="62">
        <v>3</v>
      </c>
    </row>
    <row r="21" spans="1:17">
      <c r="A21" t="s">
        <v>125</v>
      </c>
      <c r="C21" s="4"/>
      <c r="D21" s="62">
        <f>SUM(C24:Q24)</f>
        <v>0</v>
      </c>
    </row>
    <row r="22" spans="1:17">
      <c r="A22" t="s">
        <v>123</v>
      </c>
      <c r="C22" s="137">
        <v>2</v>
      </c>
      <c r="D22" s="137">
        <f t="shared" ref="D22:Q22" si="0">C22+1</f>
        <v>3</v>
      </c>
      <c r="E22" s="137">
        <f t="shared" si="0"/>
        <v>4</v>
      </c>
      <c r="F22" s="137">
        <f t="shared" si="0"/>
        <v>5</v>
      </c>
      <c r="G22" s="137">
        <f t="shared" si="0"/>
        <v>6</v>
      </c>
      <c r="H22" s="137">
        <f t="shared" si="0"/>
        <v>7</v>
      </c>
      <c r="I22" s="137">
        <f t="shared" si="0"/>
        <v>8</v>
      </c>
      <c r="J22" s="137">
        <f t="shared" si="0"/>
        <v>9</v>
      </c>
      <c r="K22" s="137">
        <f t="shared" si="0"/>
        <v>10</v>
      </c>
      <c r="L22" s="137">
        <f t="shared" si="0"/>
        <v>11</v>
      </c>
      <c r="M22" s="137">
        <f t="shared" si="0"/>
        <v>12</v>
      </c>
      <c r="N22" s="137">
        <f t="shared" si="0"/>
        <v>13</v>
      </c>
      <c r="O22" s="137">
        <f t="shared" si="0"/>
        <v>14</v>
      </c>
      <c r="P22" s="137">
        <f t="shared" si="0"/>
        <v>15</v>
      </c>
      <c r="Q22" s="137">
        <f t="shared" si="0"/>
        <v>16</v>
      </c>
    </row>
    <row r="23" spans="1:17">
      <c r="A23" t="s">
        <v>122</v>
      </c>
      <c r="C23" s="191">
        <f>IF('TS3500'!J$6&lt;='TS3500'!$F$5,IF(AND((OR('TS3500'!$F$7="L53",'TS3500'!$F$7="L52",'TS3500'!$F$7="L32")),('TS3500'!J$7="D53"),('TS3500'!$S$15=0)),1,IF(AND((OR('TS3500'!$F$7="L23",'TS3500'!$F$7="L22")),('TS3500'!J$7="D23"),('TS3500'!$M$15=0)),1,0)),0)</f>
        <v>1</v>
      </c>
      <c r="D23" s="191">
        <f>IF('TS3500'!K$6&lt;='TS3500'!$F$5,IF(AND((OR('TS3500'!$F$7="L53",'TS3500'!$F$7="L52",'TS3500'!$F$7="L32")),('TS3500'!K$7="D53"),('TS3500'!$S$15=0)),1,IF(AND((OR('TS3500'!$F$7="L23",'TS3500'!$F$7="L22")),('TS3500'!K$7="D23"),('TS3500'!$M$15=0)),1,0)),0)</f>
        <v>0</v>
      </c>
      <c r="E23" s="191">
        <f>IF('TS3500'!L$6&lt;='TS3500'!$F$5,IF(AND((OR('TS3500'!$F$7="L53",'TS3500'!$F$7="L52",'TS3500'!$F$7="L32")),('TS3500'!L$7="D53"),('TS3500'!$S$15=0)),1,IF(AND((OR('TS3500'!$F$7="L23",'TS3500'!$F$7="L22")),('TS3500'!L$7="D23"),('TS3500'!$M$15=0)),1,0)),0)</f>
        <v>0</v>
      </c>
      <c r="F23" s="191">
        <f>IF('TS3500'!M$6&lt;='TS3500'!$F$5,IF(AND((OR('TS3500'!$F$7="L53",'TS3500'!$F$7="L52",'TS3500'!$F$7="L32")),('TS3500'!M$7="D53"),('TS3500'!$S$15=0)),1,IF(AND((OR('TS3500'!$F$7="L23",'TS3500'!$F$7="L22")),('TS3500'!M$7="D23"),('TS3500'!$M$15=0)),1,0)),0)</f>
        <v>0</v>
      </c>
      <c r="G23" s="191">
        <f>IF('TS3500'!N$6&lt;='TS3500'!$F$5,IF(AND((OR('TS3500'!$F$7="L53",'TS3500'!$F$7="L52",'TS3500'!$F$7="L32")),('TS3500'!N$7="D53"),('TS3500'!$S$15=0)),1,IF(AND((OR('TS3500'!$F$7="L23",'TS3500'!$F$7="L22")),('TS3500'!N$7="D23"),('TS3500'!$M$15=0)),1,0)),0)</f>
        <v>0</v>
      </c>
      <c r="H23" s="191">
        <f>IF('TS3500'!O$6&lt;='TS3500'!$F$5,IF(AND((OR('TS3500'!$F$7="L53",'TS3500'!$F$7="L52",'TS3500'!$F$7="L32")),('TS3500'!O$7="D53"),('TS3500'!$S$15=0)),1,IF(AND((OR('TS3500'!$F$7="L23",'TS3500'!$F$7="L22")),('TS3500'!O$7="D23"),('TS3500'!$M$15=0)),1,0)),0)</f>
        <v>0</v>
      </c>
      <c r="I23" s="191">
        <f>IF('TS3500'!P$6&lt;='TS3500'!$F$5,IF(AND((OR('TS3500'!$F$7="L53",'TS3500'!$F$7="L52",'TS3500'!$F$7="L32")),('TS3500'!P$7="D53"),('TS3500'!$S$15=0)),1,IF(AND((OR('TS3500'!$F$7="L23",'TS3500'!$F$7="L22")),('TS3500'!P$7="D23"),('TS3500'!$M$15=0)),1,0)),0)</f>
        <v>0</v>
      </c>
      <c r="J23" s="191">
        <f>IF('TS3500'!Q$6&lt;='TS3500'!$F$5,IF(AND((OR('TS3500'!$F$7="L53",'TS3500'!$F$7="L52",'TS3500'!$F$7="L32")),('TS3500'!Q$7="D53"),('TS3500'!$S$15=0)),1,IF(AND((OR('TS3500'!$F$7="L23",'TS3500'!$F$7="L22")),('TS3500'!Q$7="D23"),('TS3500'!$M$15=0)),1,0)),0)</f>
        <v>0</v>
      </c>
      <c r="K23" s="191">
        <f>IF('TS3500'!R$6&lt;='TS3500'!$F$5,IF(AND((OR('TS3500'!$F$7="L53",'TS3500'!$F$7="L52",'TS3500'!$F$7="L32")),('TS3500'!R$7="D53"),('TS3500'!$S$15=0)),1,IF(AND((OR('TS3500'!$F$7="L23",'TS3500'!$F$7="L22")),('TS3500'!R$7="D23"),('TS3500'!$M$15=0)),1,0)),0)</f>
        <v>0</v>
      </c>
      <c r="L23" s="191">
        <f>IF('TS3500'!S$6&lt;='TS3500'!$F$5,IF(AND((OR('TS3500'!$F$7="L53",'TS3500'!$F$7="L52",'TS3500'!$F$7="L32")),('TS3500'!S$7="D53"),('TS3500'!$S$15=0)),1,IF(AND((OR('TS3500'!$F$7="L23",'TS3500'!$F$7="L22")),('TS3500'!S$7="D23"),('TS3500'!$M$15=0)),1,0)),0)</f>
        <v>0</v>
      </c>
      <c r="M23" s="191">
        <f>IF('TS3500'!T$6&lt;='TS3500'!$F$5,IF(AND((OR('TS3500'!$F$7="L53",'TS3500'!$F$7="L52",'TS3500'!$F$7="L32")),('TS3500'!T$7="D53"),('TS3500'!$S$15=0)),1,IF(AND((OR('TS3500'!$F$7="L23",'TS3500'!$F$7="L22")),('TS3500'!T$7="D23"),('TS3500'!$M$15=0)),1,0)),0)</f>
        <v>0</v>
      </c>
      <c r="N23" s="191">
        <f>IF('TS3500'!U$6&lt;='TS3500'!$F$5,IF(AND((OR('TS3500'!$F$7="L53",'TS3500'!$F$7="L52",'TS3500'!$F$7="L32")),('TS3500'!U$7="D53"),('TS3500'!$S$15=0)),1,IF(AND((OR('TS3500'!$F$7="L23",'TS3500'!$F$7="L22")),('TS3500'!U$7="D23"),('TS3500'!$M$15=0)),1,0)),0)</f>
        <v>0</v>
      </c>
      <c r="O23" s="191">
        <f>IF('TS3500'!V$6&lt;='TS3500'!$F$5,IF(AND((OR('TS3500'!$F$7="L53",'TS3500'!$F$7="L52",'TS3500'!$F$7="L32")),('TS3500'!V$7="D53"),('TS3500'!$S$15=0)),1,IF(AND((OR('TS3500'!$F$7="L23",'TS3500'!$F$7="L22")),('TS3500'!V$7="D23"),('TS3500'!$M$15=0)),1,0)),0)</f>
        <v>0</v>
      </c>
      <c r="P23" s="191">
        <f>IF('TS3500'!W$6&lt;='TS3500'!$F$5,IF(AND((OR('TS3500'!$F$7="L53",'TS3500'!$F$7="L52",'TS3500'!$F$7="L32")),('TS3500'!W$7="D53"),('TS3500'!$S$15=0)),1,IF(AND((OR('TS3500'!$F$7="L23",'TS3500'!$F$7="L22")),('TS3500'!W$7="D23"),('TS3500'!$M$15=0)),1,0)),0)</f>
        <v>0</v>
      </c>
      <c r="Q23" s="191">
        <f>IF('TS3500'!X$6&lt;='TS3500'!$F$5,IF(AND((OR('TS3500'!$F$7="L53",'TS3500'!$F$7="L52",'TS3500'!$F$7="L32")),('TS3500'!X$7="D53"),('TS3500'!$S$15=0)),1,IF(AND((OR('TS3500'!$F$7="L23",'TS3500'!$F$7="L22")),('TS3500'!X$7="D23"),('TS3500'!$M$15=0)),1,0)),0)</f>
        <v>0</v>
      </c>
    </row>
    <row r="24" spans="1:17">
      <c r="A24" t="s">
        <v>124</v>
      </c>
      <c r="C24" s="62">
        <f>IF(AND(C$23=1,'TS3500'!J$10=Names!$C$155),1,0)</f>
        <v>0</v>
      </c>
      <c r="D24" s="62">
        <f>IF(AND(D$23=1,'TS3500'!K$10=Names!$C$155),1,0)</f>
        <v>0</v>
      </c>
      <c r="E24" s="62">
        <f>IF(AND(E$23=1,'TS3500'!L$10=Names!$C$155),1,0)</f>
        <v>0</v>
      </c>
      <c r="F24" s="62">
        <f>IF(AND(F$23=1,'TS3500'!M$10=Names!$C$155),1,0)</f>
        <v>0</v>
      </c>
      <c r="G24" s="62">
        <f>IF(AND(G$23=1,'TS3500'!N$10=Names!$C$155),1,0)</f>
        <v>0</v>
      </c>
      <c r="H24" s="62">
        <f>IF(AND(H$23=1,'TS3500'!O$10=Names!$C$155),1,0)</f>
        <v>0</v>
      </c>
      <c r="I24" s="62">
        <f>IF(AND(I$23=1,'TS3500'!P$10=Names!$C$155),1,0)</f>
        <v>0</v>
      </c>
      <c r="J24" s="62">
        <f>IF(AND(J$23=1,'TS3500'!Q$10=Names!$C$155),1,0)</f>
        <v>0</v>
      </c>
      <c r="K24" s="62">
        <f>IF(AND(K$23=1,'TS3500'!R$10=Names!$C$155),1,0)</f>
        <v>0</v>
      </c>
      <c r="L24" s="62">
        <f>IF(AND(L$23=1,'TS3500'!S$10=Names!$C$155),1,0)</f>
        <v>0</v>
      </c>
      <c r="M24" s="62">
        <f>IF(AND(M$23=1,'TS3500'!T$10=Names!$C$155),1,0)</f>
        <v>0</v>
      </c>
      <c r="N24" s="62">
        <f>IF(AND(N$23=1,'TS3500'!U$10=Names!$C$155),1,0)</f>
        <v>0</v>
      </c>
      <c r="O24" s="62">
        <f>IF(AND(O$23=1,'TS3500'!V$10=Names!$C$155),1,0)</f>
        <v>0</v>
      </c>
      <c r="P24" s="62">
        <f>IF(AND(P$23=1,'TS3500'!W$10=Names!$C$155),1,0)</f>
        <v>0</v>
      </c>
      <c r="Q24" s="62">
        <f>IF(AND(Q$23=1,'TS3500'!X$10=Names!$C$155),1,0)</f>
        <v>0</v>
      </c>
    </row>
    <row r="25" spans="1:17">
      <c r="C25" s="62"/>
      <c r="D25" s="62"/>
      <c r="E25" s="62"/>
      <c r="F25" s="62"/>
      <c r="G25" s="62"/>
      <c r="H25" s="62"/>
      <c r="I25" s="62"/>
      <c r="J25" s="62"/>
      <c r="K25" s="62"/>
      <c r="L25" s="62"/>
      <c r="M25" s="62"/>
      <c r="N25" s="62"/>
      <c r="O25" s="62"/>
      <c r="P25" s="62"/>
      <c r="Q25" s="62"/>
    </row>
    <row r="26" spans="1:17">
      <c r="A26" s="11" t="s">
        <v>206</v>
      </c>
      <c r="C26" s="62"/>
      <c r="D26" s="62">
        <f ca="1">IF(OR('TS3500'!F7="L22", 'TS3500'!F7="L23"),'TS3500'!F9,0) + SUMIF(INDIRECT(FType02to),"=D22",INDIRECT(DrNum02to))+SUMIF(INDIRECT(FType02to),"=D23",INDIRECT(DrNum02to))</f>
        <v>8</v>
      </c>
      <c r="E26" s="62"/>
      <c r="F26" s="62"/>
      <c r="G26" s="62"/>
      <c r="H26" s="62"/>
      <c r="I26" s="62"/>
      <c r="J26" s="62"/>
      <c r="K26" s="62"/>
      <c r="L26" s="62"/>
      <c r="M26" s="62"/>
      <c r="N26" s="62"/>
      <c r="O26" s="62"/>
      <c r="P26" s="62"/>
      <c r="Q26" s="62"/>
    </row>
    <row r="27" spans="1:17">
      <c r="A27" s="11" t="s">
        <v>207</v>
      </c>
      <c r="D27" s="62">
        <f ca="1">IF(OR('TS3500'!F7="L32", 'TS3500'!F7="L52",'TS3500'!F7="L53"),'TS3500'!F9,0) + SUMIF(INDIRECT(FType02to),"=D32",INDIRECT(DrNum02to))+SUMIF(INDIRECT(FType02to),"=D52",INDIRECT(DrNum02to))+SUMIF(INDIRECT(FType02to),"=D53",INDIRECT(DrNum02to))</f>
        <v>0</v>
      </c>
      <c r="E27" s="62">
        <f>SUM('TS3500'!F9:Z9)</f>
        <v>12</v>
      </c>
      <c r="F27" s="62" t="s">
        <v>444</v>
      </c>
      <c r="G27" s="62"/>
      <c r="H27" s="62"/>
      <c r="I27" s="62"/>
      <c r="J27" s="62"/>
      <c r="K27" s="62"/>
      <c r="L27" s="62"/>
      <c r="M27" s="62"/>
      <c r="N27" s="62"/>
      <c r="O27" s="62"/>
      <c r="P27" s="62"/>
      <c r="Q27" s="62"/>
    </row>
    <row r="28" spans="1:17">
      <c r="A28" t="s">
        <v>241</v>
      </c>
      <c r="D28" s="193">
        <f ca="1">IF(AND(D26&gt;0, D27&gt;0), 3, IF(D26&gt;0,1,IF(D27&gt;0, 2,0)))</f>
        <v>1</v>
      </c>
      <c r="E28" s="9" t="s">
        <v>240</v>
      </c>
      <c r="F28" s="62"/>
      <c r="G28" s="62"/>
      <c r="H28" s="62"/>
      <c r="I28" s="62"/>
      <c r="J28" s="62"/>
      <c r="K28" s="62"/>
      <c r="L28" s="62"/>
      <c r="M28" s="62"/>
      <c r="N28" s="62"/>
      <c r="O28" s="62"/>
      <c r="P28" s="62"/>
      <c r="Q28" s="62"/>
    </row>
    <row r="29" spans="1:17">
      <c r="C29" s="62"/>
      <c r="D29" s="62"/>
      <c r="E29" s="62"/>
      <c r="F29" s="62"/>
      <c r="G29" s="62"/>
      <c r="H29" s="62"/>
      <c r="I29" s="62"/>
      <c r="J29" s="62"/>
      <c r="K29" s="62"/>
      <c r="L29" s="62"/>
      <c r="M29" s="62"/>
      <c r="N29" s="62"/>
      <c r="O29" s="62"/>
      <c r="P29" s="62"/>
      <c r="Q29" s="62"/>
    </row>
    <row r="30" spans="1:17">
      <c r="A30" t="s">
        <v>208</v>
      </c>
      <c r="D30" s="62">
        <f>'TS3500'!$F$5-INDEX(Table!C38:C53,Table!B35+1)-INDEX(Table!E38:E53,Table!B36+1)</f>
        <v>2</v>
      </c>
      <c r="E30" s="62"/>
      <c r="F30" s="62"/>
      <c r="G30" s="62"/>
      <c r="H30" s="62"/>
      <c r="I30" s="62"/>
      <c r="J30" s="62"/>
      <c r="K30" s="62"/>
      <c r="L30" s="62"/>
      <c r="M30" s="62"/>
      <c r="N30" s="62"/>
      <c r="O30" s="62"/>
      <c r="P30" s="62"/>
      <c r="Q30" s="62"/>
    </row>
    <row r="31" spans="1:17">
      <c r="A31" t="s">
        <v>235</v>
      </c>
      <c r="C31" s="62"/>
      <c r="D31" s="62">
        <f ca="1">IF((D30+INDEX(D38:D53,B35+1))&gt;16,0,IF(D26&gt;0,1,0))</f>
        <v>1</v>
      </c>
      <c r="E31" s="62"/>
      <c r="F31" s="62"/>
      <c r="G31" s="62"/>
      <c r="H31" s="62"/>
      <c r="I31" s="62"/>
      <c r="J31" s="62"/>
      <c r="K31" s="62"/>
      <c r="L31" s="62"/>
      <c r="M31" s="62"/>
      <c r="N31" s="62"/>
      <c r="O31" s="62"/>
      <c r="P31" s="62"/>
      <c r="Q31" s="62"/>
    </row>
    <row r="32" spans="1:17">
      <c r="A32" t="s">
        <v>236</v>
      </c>
      <c r="C32" s="62"/>
      <c r="D32" s="62">
        <f ca="1">IF((D30+INDEX(F38:F53,B36+1))&gt;16,0,IF(D27&gt;0,1,0))</f>
        <v>0</v>
      </c>
      <c r="E32" s="62"/>
      <c r="F32" s="62"/>
      <c r="G32" s="62"/>
      <c r="H32" s="62"/>
      <c r="I32" s="62"/>
      <c r="J32" s="62"/>
      <c r="K32" s="62"/>
      <c r="L32" s="62"/>
      <c r="M32" s="62"/>
      <c r="N32" s="62"/>
      <c r="O32" s="62"/>
      <c r="P32" s="62"/>
      <c r="Q32" s="62"/>
    </row>
    <row r="33" spans="1:17">
      <c r="C33" s="62"/>
      <c r="D33" s="62"/>
      <c r="E33" s="62"/>
      <c r="F33" s="62"/>
      <c r="G33" s="62"/>
      <c r="H33" s="62"/>
      <c r="I33" s="62"/>
      <c r="J33" s="62"/>
      <c r="K33" s="62"/>
      <c r="L33" s="62"/>
      <c r="M33" s="62"/>
      <c r="N33" s="62"/>
      <c r="O33" s="62"/>
      <c r="P33" s="62"/>
      <c r="Q33" s="62"/>
    </row>
    <row r="34" spans="1:17">
      <c r="A34" t="s">
        <v>234</v>
      </c>
      <c r="C34" s="138">
        <f t="shared" ref="C34:Q34" ca="1" si="1">IF($D$30&gt;16,0,IF(OR(C35=1,C36=1),IF(AND($D26&gt;0,$D27&gt;0),3,IF($D26&gt;0,1,IF($D27&gt;0,2,0))),IF(AND($D31=1,$D32=1),3,IF($D31=1,1,IF($D32=1,2,0)))))</f>
        <v>1</v>
      </c>
      <c r="D34" s="138">
        <f t="shared" ca="1" si="1"/>
        <v>1</v>
      </c>
      <c r="E34" s="138">
        <f t="shared" ca="1" si="1"/>
        <v>1</v>
      </c>
      <c r="F34" s="138">
        <f t="shared" ca="1" si="1"/>
        <v>1</v>
      </c>
      <c r="G34" s="138">
        <f t="shared" ca="1" si="1"/>
        <v>1</v>
      </c>
      <c r="H34" s="138">
        <f t="shared" ca="1" si="1"/>
        <v>1</v>
      </c>
      <c r="I34" s="138">
        <f t="shared" ca="1" si="1"/>
        <v>1</v>
      </c>
      <c r="J34" s="138">
        <f t="shared" ca="1" si="1"/>
        <v>1</v>
      </c>
      <c r="K34" s="138">
        <f t="shared" ca="1" si="1"/>
        <v>1</v>
      </c>
      <c r="L34" s="138">
        <f t="shared" ca="1" si="1"/>
        <v>1</v>
      </c>
      <c r="M34" s="138">
        <f t="shared" ca="1" si="1"/>
        <v>1</v>
      </c>
      <c r="N34" s="138">
        <f t="shared" ca="1" si="1"/>
        <v>1</v>
      </c>
      <c r="O34" s="138">
        <f t="shared" ca="1" si="1"/>
        <v>1</v>
      </c>
      <c r="P34" s="138">
        <f t="shared" ca="1" si="1"/>
        <v>1</v>
      </c>
      <c r="Q34" s="138">
        <f t="shared" ca="1" si="1"/>
        <v>1</v>
      </c>
    </row>
    <row r="35" spans="1:17">
      <c r="A35" s="11" t="s">
        <v>194</v>
      </c>
      <c r="B35" s="136">
        <f>SUM(C35:Q35)</f>
        <v>0</v>
      </c>
      <c r="C35" s="62">
        <f>IF('TS3500'!J$6&lt;='TS3500'!$F$5, IF('TS3500'!J$7="S24",1,0), 0)</f>
        <v>0</v>
      </c>
      <c r="D35" s="62">
        <f>IF('TS3500'!K$6&lt;='TS3500'!$F$5, IF('TS3500'!K$7="S24",1,0), 0)</f>
        <v>0</v>
      </c>
      <c r="E35" s="62">
        <f>IF('TS3500'!L$6&lt;='TS3500'!$F$5, IF('TS3500'!L$7="S24",1,0), 0)</f>
        <v>0</v>
      </c>
      <c r="F35" s="62">
        <f>IF('TS3500'!M$6&lt;='TS3500'!$F$5, IF('TS3500'!M$7="S24",1,0), 0)</f>
        <v>0</v>
      </c>
      <c r="G35" s="62">
        <f>IF('TS3500'!N$6&lt;='TS3500'!$F$5, IF('TS3500'!N$7="S24",1,0), 0)</f>
        <v>0</v>
      </c>
      <c r="H35" s="62">
        <f>IF('TS3500'!O$6&lt;='TS3500'!$F$5, IF('TS3500'!O$7="S24",1,0), 0)</f>
        <v>0</v>
      </c>
      <c r="I35" s="62">
        <f>IF('TS3500'!P$6&lt;='TS3500'!$F$5, IF('TS3500'!P$7="S24",1,0), 0)</f>
        <v>0</v>
      </c>
      <c r="J35" s="62">
        <f>IF('TS3500'!Q$6&lt;='TS3500'!$F$5, IF('TS3500'!Q$7="S24",1,0), 0)</f>
        <v>0</v>
      </c>
      <c r="K35" s="62">
        <f>IF('TS3500'!R$6&lt;='TS3500'!$F$5, IF('TS3500'!R$7="S24",1,0), 0)</f>
        <v>0</v>
      </c>
      <c r="L35" s="62">
        <f>IF('TS3500'!S$6&lt;='TS3500'!$F$5, IF('TS3500'!S$7="S24",1,0), 0)</f>
        <v>0</v>
      </c>
      <c r="M35" s="62">
        <f>IF('TS3500'!T$6&lt;='TS3500'!$F$5, IF('TS3500'!T$7="S24",1,0), 0)</f>
        <v>0</v>
      </c>
      <c r="N35" s="62">
        <f>IF('TS3500'!U$6&lt;='TS3500'!$F$5, IF('TS3500'!U$7="S24",1,0), 0)</f>
        <v>0</v>
      </c>
      <c r="O35" s="62">
        <f>IF('TS3500'!V$6&lt;='TS3500'!$F$5, IF('TS3500'!V$7="S24",1,0), 0)</f>
        <v>0</v>
      </c>
      <c r="P35" s="62">
        <v>0</v>
      </c>
      <c r="Q35" s="62">
        <v>0</v>
      </c>
    </row>
    <row r="36" spans="1:17" ht="12.9" thickBot="1">
      <c r="A36" s="11" t="s">
        <v>195</v>
      </c>
      <c r="B36" s="136">
        <f>SUM(C36:Q36)</f>
        <v>0</v>
      </c>
      <c r="C36" s="62">
        <f>IF('TS3500'!J$6&lt;='TS3500'!$F$5, IF('TS3500'!J$7="S54",1,0), 0)</f>
        <v>0</v>
      </c>
      <c r="D36" s="62">
        <f>IF('TS3500'!K$6&lt;='TS3500'!$F$5, IF('TS3500'!K$7="S54",1,0), 0)</f>
        <v>0</v>
      </c>
      <c r="E36" s="62">
        <f>IF('TS3500'!L$6&lt;='TS3500'!$F$5, IF('TS3500'!L$7="S54",1,0), 0)</f>
        <v>0</v>
      </c>
      <c r="F36" s="62">
        <f>IF('TS3500'!M$6&lt;='TS3500'!$F$5, IF('TS3500'!M$7="S54",1,0), 0)</f>
        <v>0</v>
      </c>
      <c r="G36" s="62">
        <f>IF('TS3500'!N$6&lt;='TS3500'!$F$5, IF('TS3500'!N$7="S54",1,0), 0)</f>
        <v>0</v>
      </c>
      <c r="H36" s="62">
        <f>IF('TS3500'!O$6&lt;='TS3500'!$F$5, IF('TS3500'!O$7="S54",1,0), 0)</f>
        <v>0</v>
      </c>
      <c r="I36" s="62">
        <f>IF('TS3500'!P$6&lt;='TS3500'!$F$5, IF('TS3500'!P$7="S54",1,0), 0)</f>
        <v>0</v>
      </c>
      <c r="J36" s="62">
        <f>IF('TS3500'!Q$6&lt;='TS3500'!$F$5, IF('TS3500'!Q$7="S54",1,0), 0)</f>
        <v>0</v>
      </c>
      <c r="K36" s="62">
        <f>IF('TS3500'!R$6&lt;='TS3500'!$F$5, IF('TS3500'!R$7="S54",1,0), 0)</f>
        <v>0</v>
      </c>
      <c r="L36" s="62">
        <f>IF('TS3500'!S$6&lt;='TS3500'!$F$5, IF('TS3500'!S$7="S54",1,0), 0)</f>
        <v>0</v>
      </c>
      <c r="M36" s="62">
        <f>IF('TS3500'!T$6&lt;='TS3500'!$F$5, IF('TS3500'!T$7="S54",1,0), 0)</f>
        <v>0</v>
      </c>
      <c r="N36" s="62">
        <f>IF('TS3500'!U$6&lt;='TS3500'!$F$5, IF('TS3500'!U$7="S54",1,0), 0)</f>
        <v>0</v>
      </c>
      <c r="O36" s="62">
        <f>IF('TS3500'!V$6&lt;='TS3500'!$F$5, IF('TS3500'!V$7="S54",1,0), 0)</f>
        <v>0</v>
      </c>
      <c r="P36" s="62">
        <v>0</v>
      </c>
      <c r="Q36" s="62">
        <v>0</v>
      </c>
    </row>
    <row r="37" spans="1:17" ht="12.9" thickBot="1">
      <c r="B37" s="102" t="s">
        <v>237</v>
      </c>
      <c r="C37" s="1238" t="s">
        <v>196</v>
      </c>
      <c r="D37" s="1239"/>
      <c r="E37" s="1240" t="s">
        <v>197</v>
      </c>
      <c r="F37" s="1241"/>
      <c r="G37" s="62"/>
      <c r="H37" s="62"/>
      <c r="I37" s="62"/>
      <c r="J37" s="62"/>
      <c r="K37" s="62"/>
      <c r="L37" s="62"/>
      <c r="M37" s="62"/>
      <c r="N37" s="62"/>
      <c r="O37" s="62"/>
      <c r="P37" s="62"/>
      <c r="Q37" s="62"/>
    </row>
    <row r="38" spans="1:17">
      <c r="B38" s="13">
        <v>0</v>
      </c>
      <c r="C38" s="145">
        <v>0</v>
      </c>
      <c r="D38" s="146">
        <f t="shared" ref="D38:D43" si="2">C38-C39</f>
        <v>2</v>
      </c>
      <c r="E38" s="147">
        <v>0</v>
      </c>
      <c r="F38" s="148">
        <f t="shared" ref="F38:F43" si="3">E38-E39</f>
        <v>2</v>
      </c>
      <c r="G38" s="62"/>
      <c r="H38" s="62"/>
      <c r="I38" s="62"/>
      <c r="J38" s="62"/>
      <c r="K38" s="62"/>
      <c r="L38" s="62"/>
      <c r="M38" s="62"/>
      <c r="N38" s="62"/>
      <c r="O38" s="62"/>
      <c r="P38" s="62"/>
      <c r="Q38" s="62"/>
    </row>
    <row r="39" spans="1:17">
      <c r="B39" s="15">
        <v>1</v>
      </c>
      <c r="C39" s="149">
        <v>-2</v>
      </c>
      <c r="D39" s="150">
        <f t="shared" si="2"/>
        <v>1</v>
      </c>
      <c r="E39" s="151">
        <v>-2</v>
      </c>
      <c r="F39" s="152">
        <f t="shared" si="3"/>
        <v>2</v>
      </c>
      <c r="G39" s="62"/>
      <c r="H39" s="62"/>
      <c r="I39" s="62"/>
      <c r="J39" s="62"/>
      <c r="K39" s="62"/>
      <c r="L39" s="62"/>
      <c r="M39" s="62"/>
      <c r="N39" s="62"/>
      <c r="O39" s="62"/>
      <c r="P39" s="62"/>
      <c r="Q39" s="62"/>
    </row>
    <row r="40" spans="1:17">
      <c r="B40" s="15">
        <v>2</v>
      </c>
      <c r="C40" s="149">
        <v>-3</v>
      </c>
      <c r="D40" s="150">
        <f t="shared" si="2"/>
        <v>2</v>
      </c>
      <c r="E40" s="151">
        <v>-4</v>
      </c>
      <c r="F40" s="152">
        <f t="shared" si="3"/>
        <v>2</v>
      </c>
      <c r="G40" s="62"/>
      <c r="H40" s="62"/>
      <c r="I40" s="62"/>
      <c r="J40" s="62"/>
      <c r="K40" s="62"/>
      <c r="L40" s="62"/>
      <c r="M40" s="62"/>
      <c r="N40" s="62"/>
      <c r="O40" s="62"/>
      <c r="P40" s="62"/>
      <c r="Q40" s="62"/>
    </row>
    <row r="41" spans="1:17">
      <c r="B41" s="15">
        <v>3</v>
      </c>
      <c r="C41" s="149">
        <v>-5</v>
      </c>
      <c r="D41" s="150">
        <f t="shared" si="2"/>
        <v>1</v>
      </c>
      <c r="E41" s="151">
        <v>-6</v>
      </c>
      <c r="F41" s="152">
        <f t="shared" si="3"/>
        <v>2</v>
      </c>
      <c r="G41" s="62"/>
      <c r="H41" s="62"/>
      <c r="I41" s="62"/>
      <c r="J41" s="62"/>
      <c r="K41" s="62"/>
      <c r="L41" s="62"/>
      <c r="M41" s="62"/>
      <c r="N41" s="62"/>
      <c r="O41" s="62"/>
      <c r="P41" s="62"/>
      <c r="Q41" s="62"/>
    </row>
    <row r="42" spans="1:17">
      <c r="B42" s="15">
        <v>4</v>
      </c>
      <c r="C42" s="149">
        <v>-6</v>
      </c>
      <c r="D42" s="150">
        <f t="shared" si="2"/>
        <v>2</v>
      </c>
      <c r="E42" s="151">
        <v>-8</v>
      </c>
      <c r="F42" s="152">
        <f t="shared" si="3"/>
        <v>2</v>
      </c>
      <c r="G42" s="62"/>
      <c r="H42" s="62"/>
      <c r="I42" s="62"/>
      <c r="J42" s="62"/>
      <c r="K42" s="62"/>
      <c r="L42" s="62"/>
      <c r="M42" s="62"/>
      <c r="N42" s="62"/>
      <c r="O42" s="62"/>
      <c r="P42" s="62"/>
      <c r="Q42" s="62"/>
    </row>
    <row r="43" spans="1:17">
      <c r="B43" s="15">
        <v>5</v>
      </c>
      <c r="C43" s="149">
        <v>-8</v>
      </c>
      <c r="D43" s="150">
        <f t="shared" si="2"/>
        <v>1</v>
      </c>
      <c r="E43" s="151">
        <v>-10</v>
      </c>
      <c r="F43" s="190">
        <f t="shared" si="3"/>
        <v>89</v>
      </c>
      <c r="G43" s="62"/>
      <c r="H43" s="62"/>
      <c r="I43" s="62"/>
      <c r="J43" s="62"/>
      <c r="K43" s="62"/>
      <c r="L43" s="62"/>
      <c r="M43" s="62"/>
      <c r="N43" s="62"/>
      <c r="O43" s="62"/>
      <c r="P43" s="62"/>
      <c r="Q43" s="62"/>
    </row>
    <row r="44" spans="1:17">
      <c r="B44" s="15">
        <v>6</v>
      </c>
      <c r="C44" s="149">
        <v>-9</v>
      </c>
      <c r="D44" s="184">
        <f>C44-C53</f>
        <v>90</v>
      </c>
      <c r="E44" s="185">
        <v>-99</v>
      </c>
      <c r="F44" s="186">
        <v>89</v>
      </c>
      <c r="G44" s="62"/>
      <c r="H44" s="62"/>
      <c r="I44" s="62"/>
      <c r="J44" s="62"/>
      <c r="K44" s="62"/>
      <c r="L44" s="62"/>
      <c r="M44" s="62"/>
      <c r="N44" s="62"/>
      <c r="O44" s="62"/>
      <c r="P44" s="62"/>
      <c r="Q44" s="62"/>
    </row>
    <row r="45" spans="1:17">
      <c r="B45" s="196">
        <v>7</v>
      </c>
      <c r="C45" s="194">
        <v>-99</v>
      </c>
      <c r="D45" s="184">
        <v>90</v>
      </c>
      <c r="E45" s="185">
        <v>-99</v>
      </c>
      <c r="F45" s="186">
        <v>89</v>
      </c>
      <c r="G45" s="62"/>
      <c r="H45" s="62"/>
      <c r="I45" s="62"/>
      <c r="J45" s="62"/>
      <c r="K45" s="62"/>
      <c r="L45" s="62"/>
      <c r="M45" s="62"/>
      <c r="N45" s="62"/>
      <c r="O45" s="62"/>
      <c r="P45" s="62"/>
      <c r="Q45" s="62"/>
    </row>
    <row r="46" spans="1:17">
      <c r="B46" s="196">
        <v>8</v>
      </c>
      <c r="C46" s="194">
        <v>-99</v>
      </c>
      <c r="D46" s="184">
        <v>90</v>
      </c>
      <c r="E46" s="185">
        <v>-99</v>
      </c>
      <c r="F46" s="186">
        <v>89</v>
      </c>
      <c r="G46" s="62"/>
      <c r="H46" s="62"/>
      <c r="I46" s="62"/>
      <c r="J46" s="62"/>
      <c r="K46" s="62"/>
      <c r="L46" s="62"/>
      <c r="M46" s="62"/>
      <c r="N46" s="62"/>
      <c r="O46" s="62"/>
      <c r="P46" s="62"/>
      <c r="Q46" s="62"/>
    </row>
    <row r="47" spans="1:17">
      <c r="B47" s="196">
        <v>9</v>
      </c>
      <c r="C47" s="194">
        <v>-99</v>
      </c>
      <c r="D47" s="184">
        <v>90</v>
      </c>
      <c r="E47" s="185">
        <v>-99</v>
      </c>
      <c r="F47" s="186">
        <v>89</v>
      </c>
      <c r="G47" s="62"/>
      <c r="H47" s="62"/>
      <c r="I47" s="62"/>
      <c r="J47" s="62"/>
      <c r="K47" s="62"/>
      <c r="L47" s="62"/>
      <c r="M47" s="62"/>
      <c r="N47" s="62"/>
      <c r="O47" s="62"/>
      <c r="P47" s="62"/>
      <c r="Q47" s="62"/>
    </row>
    <row r="48" spans="1:17">
      <c r="B48" s="196">
        <v>10</v>
      </c>
      <c r="C48" s="194">
        <v>-99</v>
      </c>
      <c r="D48" s="184">
        <v>90</v>
      </c>
      <c r="E48" s="185">
        <v>-99</v>
      </c>
      <c r="F48" s="186">
        <v>89</v>
      </c>
      <c r="G48" s="62"/>
      <c r="H48" s="62"/>
      <c r="I48" s="62"/>
      <c r="J48" s="62"/>
      <c r="K48" s="62"/>
      <c r="L48" s="62"/>
      <c r="M48" s="62"/>
      <c r="N48" s="62"/>
      <c r="O48" s="62"/>
      <c r="P48" s="62"/>
      <c r="Q48" s="62"/>
    </row>
    <row r="49" spans="2:17">
      <c r="B49" s="196">
        <v>11</v>
      </c>
      <c r="C49" s="194">
        <v>-99</v>
      </c>
      <c r="D49" s="184">
        <v>90</v>
      </c>
      <c r="E49" s="185">
        <v>-99</v>
      </c>
      <c r="F49" s="186">
        <v>89</v>
      </c>
      <c r="G49" s="62"/>
      <c r="H49" s="62"/>
      <c r="I49" s="62"/>
      <c r="J49" s="62"/>
      <c r="K49" s="62"/>
      <c r="L49" s="62"/>
      <c r="M49" s="62"/>
      <c r="N49" s="62"/>
      <c r="O49" s="62"/>
      <c r="P49" s="62"/>
      <c r="Q49" s="62"/>
    </row>
    <row r="50" spans="2:17">
      <c r="B50" s="196">
        <v>12</v>
      </c>
      <c r="C50" s="194">
        <v>-99</v>
      </c>
      <c r="D50" s="184">
        <v>90</v>
      </c>
      <c r="E50" s="185">
        <v>-99</v>
      </c>
      <c r="F50" s="186">
        <v>89</v>
      </c>
      <c r="G50" s="62"/>
      <c r="H50" s="62"/>
      <c r="I50" s="62"/>
      <c r="J50" s="62"/>
      <c r="K50" s="62"/>
      <c r="L50" s="62"/>
      <c r="M50" s="62"/>
      <c r="N50" s="62"/>
      <c r="O50" s="62"/>
      <c r="P50" s="62"/>
      <c r="Q50" s="62"/>
    </row>
    <row r="51" spans="2:17">
      <c r="B51" s="196">
        <v>13</v>
      </c>
      <c r="C51" s="194">
        <v>-99</v>
      </c>
      <c r="D51" s="184">
        <v>90</v>
      </c>
      <c r="E51" s="185">
        <v>-99</v>
      </c>
      <c r="F51" s="186">
        <v>89</v>
      </c>
      <c r="G51" s="62"/>
      <c r="H51" s="62"/>
      <c r="I51" s="62"/>
      <c r="J51" s="62"/>
      <c r="K51" s="62"/>
      <c r="L51" s="62"/>
      <c r="M51" s="62"/>
      <c r="N51" s="62"/>
      <c r="O51" s="62"/>
      <c r="P51" s="62"/>
      <c r="Q51" s="62"/>
    </row>
    <row r="52" spans="2:17">
      <c r="B52" s="196">
        <v>14</v>
      </c>
      <c r="C52" s="194">
        <v>-99</v>
      </c>
      <c r="D52" s="184">
        <v>90</v>
      </c>
      <c r="E52" s="185">
        <v>-99</v>
      </c>
      <c r="F52" s="186">
        <v>89</v>
      </c>
      <c r="G52" s="62"/>
      <c r="H52" s="62"/>
      <c r="I52" s="62"/>
      <c r="J52" s="62"/>
      <c r="K52" s="62"/>
      <c r="L52" s="62"/>
      <c r="M52" s="62"/>
      <c r="N52" s="62"/>
      <c r="O52" s="62"/>
      <c r="P52" s="62"/>
      <c r="Q52" s="62"/>
    </row>
    <row r="53" spans="2:17" ht="12.9" thickBot="1">
      <c r="B53" s="183">
        <v>15</v>
      </c>
      <c r="C53" s="195">
        <v>-99</v>
      </c>
      <c r="D53" s="187"/>
      <c r="E53" s="188">
        <v>-99</v>
      </c>
      <c r="F53" s="189"/>
      <c r="G53" s="62"/>
      <c r="H53" s="62"/>
      <c r="I53" s="62"/>
      <c r="J53" s="62"/>
      <c r="K53" s="62"/>
      <c r="L53" s="62"/>
      <c r="M53" s="62"/>
      <c r="N53" s="62"/>
      <c r="O53" s="62"/>
      <c r="P53" s="62"/>
      <c r="Q53" s="62"/>
    </row>
    <row r="54" spans="2:17">
      <c r="C54" s="4"/>
      <c r="D54" s="4"/>
    </row>
    <row r="55" spans="2:17" ht="12.9" thickBot="1">
      <c r="B55" s="6" t="s">
        <v>148</v>
      </c>
      <c r="C55" s="4"/>
      <c r="D55" s="4"/>
    </row>
    <row r="56" spans="2:17" ht="12.9" thickBot="1">
      <c r="B56" s="13"/>
      <c r="C56" s="14"/>
      <c r="D56" s="1254" t="s">
        <v>146</v>
      </c>
      <c r="E56" s="1234"/>
      <c r="F56" s="1234"/>
      <c r="G56" s="1234"/>
      <c r="H56" s="1234"/>
      <c r="I56" s="1234"/>
      <c r="J56" s="1234"/>
      <c r="K56" s="1235"/>
      <c r="L56" s="1234" t="s">
        <v>147</v>
      </c>
      <c r="M56" s="1234"/>
      <c r="N56" s="1234"/>
      <c r="O56" s="1234"/>
      <c r="P56" s="1234"/>
      <c r="Q56" s="1235"/>
    </row>
    <row r="57" spans="2:17">
      <c r="B57" s="15"/>
      <c r="C57" s="4"/>
      <c r="D57" s="1247" t="s">
        <v>144</v>
      </c>
      <c r="E57" s="1234" t="s">
        <v>141</v>
      </c>
      <c r="F57" s="1234"/>
      <c r="G57" s="1234"/>
      <c r="H57" s="1217" t="s">
        <v>132</v>
      </c>
      <c r="I57" s="1217" t="s">
        <v>133</v>
      </c>
      <c r="J57" s="1217" t="s">
        <v>136</v>
      </c>
      <c r="K57" s="1220" t="s">
        <v>137</v>
      </c>
      <c r="L57" s="1200" t="s">
        <v>145</v>
      </c>
      <c r="M57" s="1234" t="s">
        <v>1</v>
      </c>
      <c r="N57" s="1234"/>
      <c r="O57" s="1234"/>
      <c r="P57" s="1217" t="s">
        <v>5</v>
      </c>
      <c r="Q57" s="1220" t="s">
        <v>135</v>
      </c>
    </row>
    <row r="58" spans="2:17">
      <c r="B58" s="15"/>
      <c r="C58" s="4"/>
      <c r="D58" s="1248"/>
      <c r="E58" s="1231" t="s">
        <v>134</v>
      </c>
      <c r="F58" s="1232"/>
      <c r="G58" s="1233"/>
      <c r="H58" s="1218"/>
      <c r="I58" s="1218"/>
      <c r="J58" s="1218"/>
      <c r="K58" s="1221"/>
      <c r="L58" s="1201"/>
      <c r="M58" s="1231" t="s">
        <v>134</v>
      </c>
      <c r="N58" s="1232"/>
      <c r="O58" s="1233"/>
      <c r="P58" s="1218"/>
      <c r="Q58" s="1221"/>
    </row>
    <row r="59" spans="2:17" ht="12.9" thickBot="1">
      <c r="B59" s="15"/>
      <c r="C59" s="4"/>
      <c r="D59" s="1249"/>
      <c r="E59" s="23" t="s">
        <v>23</v>
      </c>
      <c r="F59" s="30">
        <v>10</v>
      </c>
      <c r="G59" s="23">
        <v>30</v>
      </c>
      <c r="H59" s="1219"/>
      <c r="I59" s="1219"/>
      <c r="J59" s="1219"/>
      <c r="K59" s="1222"/>
      <c r="L59" s="1202"/>
      <c r="M59" s="23" t="s">
        <v>23</v>
      </c>
      <c r="N59" s="30">
        <v>10</v>
      </c>
      <c r="O59" s="23">
        <v>30</v>
      </c>
      <c r="P59" s="1219"/>
      <c r="Q59" s="1222"/>
    </row>
    <row r="60" spans="2:17" ht="13.4" customHeight="1">
      <c r="B60" s="1255" t="s">
        <v>143</v>
      </c>
      <c r="C60" s="1256"/>
      <c r="D60" s="28">
        <v>0</v>
      </c>
      <c r="E60" s="17">
        <v>240</v>
      </c>
      <c r="F60" s="24">
        <f>E60-30</f>
        <v>210</v>
      </c>
      <c r="G60" s="17">
        <f>E60-80</f>
        <v>160</v>
      </c>
      <c r="H60" s="24">
        <v>400</v>
      </c>
      <c r="I60" s="24">
        <v>400</v>
      </c>
      <c r="J60" s="24">
        <v>400</v>
      </c>
      <c r="K60" s="18">
        <v>400</v>
      </c>
      <c r="L60" s="28">
        <v>0</v>
      </c>
      <c r="M60" s="17">
        <v>240</v>
      </c>
      <c r="N60" s="24">
        <f>M60-30</f>
        <v>210</v>
      </c>
      <c r="O60" s="24">
        <f>M60-80</f>
        <v>160</v>
      </c>
      <c r="P60" s="24">
        <v>400</v>
      </c>
      <c r="Q60" s="18">
        <v>400</v>
      </c>
    </row>
    <row r="61" spans="2:17">
      <c r="B61" s="1244"/>
      <c r="C61" s="1243"/>
      <c r="D61" s="48" t="s">
        <v>138</v>
      </c>
      <c r="E61" s="49">
        <v>240</v>
      </c>
      <c r="F61" s="43">
        <v>210</v>
      </c>
      <c r="G61" s="49">
        <v>160</v>
      </c>
      <c r="H61" s="53"/>
      <c r="I61" s="43">
        <v>300</v>
      </c>
      <c r="J61" s="43">
        <v>335</v>
      </c>
      <c r="K61" s="51">
        <v>345</v>
      </c>
      <c r="L61" s="52" t="s">
        <v>9</v>
      </c>
      <c r="M61" s="49">
        <v>240</v>
      </c>
      <c r="N61" s="43">
        <v>210</v>
      </c>
      <c r="O61" s="43">
        <v>160</v>
      </c>
      <c r="P61" s="43">
        <v>335</v>
      </c>
      <c r="Q61" s="51">
        <v>345</v>
      </c>
    </row>
    <row r="62" spans="2:17">
      <c r="B62" s="1244"/>
      <c r="C62" s="1243"/>
      <c r="D62" s="19" t="s">
        <v>139</v>
      </c>
      <c r="E62" s="44"/>
      <c r="F62" s="25"/>
      <c r="G62" s="45"/>
      <c r="H62" s="25"/>
      <c r="I62" s="25"/>
      <c r="J62" s="26">
        <v>290</v>
      </c>
      <c r="K62" s="16">
        <v>305</v>
      </c>
      <c r="L62" s="21" t="s">
        <v>7</v>
      </c>
      <c r="M62" s="44"/>
      <c r="N62" s="25"/>
      <c r="O62" s="25"/>
      <c r="P62" s="26">
        <v>290</v>
      </c>
      <c r="Q62" s="16">
        <v>305</v>
      </c>
    </row>
    <row r="63" spans="2:17" ht="12.9" thickBot="1">
      <c r="B63" s="1245"/>
      <c r="C63" s="1246"/>
      <c r="D63" s="20" t="s">
        <v>140</v>
      </c>
      <c r="E63" s="46"/>
      <c r="F63" s="27"/>
      <c r="G63" s="47"/>
      <c r="H63" s="27"/>
      <c r="I63" s="27"/>
      <c r="J63" s="55">
        <v>250</v>
      </c>
      <c r="K63" s="56"/>
      <c r="L63" s="22" t="s">
        <v>8</v>
      </c>
      <c r="M63" s="46"/>
      <c r="N63" s="27"/>
      <c r="O63" s="27"/>
      <c r="P63" s="55">
        <v>250</v>
      </c>
      <c r="Q63" s="57"/>
    </row>
    <row r="64" spans="2:17" ht="13.4" customHeight="1">
      <c r="B64" s="1242" t="s">
        <v>142</v>
      </c>
      <c r="C64" s="1243"/>
      <c r="D64" s="29">
        <v>0</v>
      </c>
      <c r="E64">
        <v>216</v>
      </c>
      <c r="F64" s="26">
        <f>E64-26</f>
        <v>190</v>
      </c>
      <c r="G64">
        <f>E64-72</f>
        <v>144</v>
      </c>
      <c r="H64" s="26">
        <v>360</v>
      </c>
      <c r="I64" s="26">
        <v>360</v>
      </c>
      <c r="J64" s="26">
        <v>360</v>
      </c>
      <c r="K64" s="16">
        <v>360</v>
      </c>
      <c r="L64" s="29">
        <v>0</v>
      </c>
      <c r="M64">
        <v>216</v>
      </c>
      <c r="N64" s="26">
        <v>190</v>
      </c>
      <c r="O64" s="26">
        <v>144</v>
      </c>
      <c r="P64" s="26">
        <v>360</v>
      </c>
      <c r="Q64" s="16">
        <v>360</v>
      </c>
    </row>
    <row r="65" spans="2:17">
      <c r="B65" s="1244"/>
      <c r="C65" s="1243"/>
      <c r="D65" s="19" t="s">
        <v>138</v>
      </c>
      <c r="E65" s="54">
        <v>216</v>
      </c>
      <c r="F65" s="43">
        <v>190</v>
      </c>
      <c r="G65" s="49">
        <v>144</v>
      </c>
      <c r="H65" s="50"/>
      <c r="I65" s="43">
        <v>270</v>
      </c>
      <c r="J65" s="43">
        <v>305</v>
      </c>
      <c r="K65" s="51">
        <v>305</v>
      </c>
      <c r="L65" s="52" t="s">
        <v>9</v>
      </c>
      <c r="M65" s="49">
        <v>216</v>
      </c>
      <c r="N65" s="43">
        <v>190</v>
      </c>
      <c r="O65" s="43">
        <v>144</v>
      </c>
      <c r="P65" s="43">
        <v>305</v>
      </c>
      <c r="Q65" s="51">
        <v>305</v>
      </c>
    </row>
    <row r="66" spans="2:17">
      <c r="B66" s="1244"/>
      <c r="C66" s="1243"/>
      <c r="D66" s="19" t="s">
        <v>139</v>
      </c>
      <c r="E66" s="44"/>
      <c r="F66" s="25"/>
      <c r="G66" s="45"/>
      <c r="H66" s="25"/>
      <c r="I66" s="25"/>
      <c r="J66" s="26">
        <v>260</v>
      </c>
      <c r="K66" s="16">
        <v>275</v>
      </c>
      <c r="L66" s="21" t="s">
        <v>7</v>
      </c>
      <c r="M66" s="44"/>
      <c r="N66" s="25"/>
      <c r="O66" s="25"/>
      <c r="P66" s="26">
        <v>260</v>
      </c>
      <c r="Q66" s="16">
        <v>275</v>
      </c>
    </row>
    <row r="67" spans="2:17" ht="12.9" thickBot="1">
      <c r="B67" s="1245"/>
      <c r="C67" s="1246"/>
      <c r="D67" s="20" t="s">
        <v>140</v>
      </c>
      <c r="E67" s="46"/>
      <c r="F67" s="27"/>
      <c r="G67" s="47"/>
      <c r="H67" s="27"/>
      <c r="I67" s="27"/>
      <c r="J67" s="55">
        <v>230</v>
      </c>
      <c r="K67" s="56"/>
      <c r="L67" s="22" t="s">
        <v>8</v>
      </c>
      <c r="M67" s="46"/>
      <c r="N67" s="27"/>
      <c r="O67" s="27"/>
      <c r="P67" s="55">
        <v>230</v>
      </c>
      <c r="Q67" s="57"/>
    </row>
  </sheetData>
  <mergeCells count="43">
    <mergeCell ref="O2:Q2"/>
    <mergeCell ref="E2:K2"/>
    <mergeCell ref="L2:N2"/>
    <mergeCell ref="N4:N6"/>
    <mergeCell ref="M4:M6"/>
    <mergeCell ref="L4:L6"/>
    <mergeCell ref="Q4:Q6"/>
    <mergeCell ref="O3:O6"/>
    <mergeCell ref="E3:F3"/>
    <mergeCell ref="G3:K3"/>
    <mergeCell ref="J4:K5"/>
    <mergeCell ref="G4:I4"/>
    <mergeCell ref="H5:I5"/>
    <mergeCell ref="P4:P6"/>
    <mergeCell ref="M3:N3"/>
    <mergeCell ref="B64:C67"/>
    <mergeCell ref="D57:D59"/>
    <mergeCell ref="B8:C8"/>
    <mergeCell ref="B9:C12"/>
    <mergeCell ref="D56:K56"/>
    <mergeCell ref="H57:H59"/>
    <mergeCell ref="I57:I59"/>
    <mergeCell ref="E57:G57"/>
    <mergeCell ref="J57:J59"/>
    <mergeCell ref="K57:K59"/>
    <mergeCell ref="B60:C63"/>
    <mergeCell ref="E58:G58"/>
    <mergeCell ref="L57:L59"/>
    <mergeCell ref="B4:C6"/>
    <mergeCell ref="D4:D6"/>
    <mergeCell ref="E4:F5"/>
    <mergeCell ref="B13:Q14"/>
    <mergeCell ref="P57:P59"/>
    <mergeCell ref="Q57:Q59"/>
    <mergeCell ref="O9:O12"/>
    <mergeCell ref="P9:P12"/>
    <mergeCell ref="Q9:Q12"/>
    <mergeCell ref="M58:O58"/>
    <mergeCell ref="M57:O57"/>
    <mergeCell ref="L56:Q56"/>
    <mergeCell ref="B7:C7"/>
    <mergeCell ref="C37:D37"/>
    <mergeCell ref="E37:F37"/>
  </mergeCells>
  <phoneticPr fontId="2" type="noConversion"/>
  <pageMargins left="0.75" right="0.75" top="1" bottom="1" header="0.5" footer="0.5"/>
  <pageSetup orientation="portrait"/>
  <headerFooter alignWithMargins="0"/>
  <ignoredErrors>
    <ignoredError sqref="E3" numberStoredAsText="1"/>
  </ignoredError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1:M322"/>
  <sheetViews>
    <sheetView topLeftCell="A279" workbookViewId="0">
      <selection activeCell="J318" sqref="J318"/>
    </sheetView>
  </sheetViews>
  <sheetFormatPr baseColWidth="10" defaultColWidth="9.07421875" defaultRowHeight="12.45"/>
  <cols>
    <col min="1" max="1" width="9.07421875" style="153"/>
    <col min="2" max="2" width="30.84375" style="153" bestFit="1" customWidth="1"/>
    <col min="3" max="3" width="26.3046875" style="10" bestFit="1" customWidth="1"/>
    <col min="4" max="9" width="9.07421875" style="153"/>
    <col min="10" max="10" width="15.69140625" style="10" customWidth="1"/>
    <col min="11" max="16384" width="9.07421875" style="153"/>
  </cols>
  <sheetData>
    <row r="1" spans="2:11" ht="12.9" thickBot="1"/>
    <row r="2" spans="2:11">
      <c r="B2" s="154" t="s">
        <v>67</v>
      </c>
      <c r="C2" s="155" t="s">
        <v>343</v>
      </c>
      <c r="E2" s="156" t="s">
        <v>172</v>
      </c>
      <c r="F2" s="1298" t="s">
        <v>165</v>
      </c>
      <c r="G2" s="1291" t="s">
        <v>164</v>
      </c>
      <c r="H2" s="1291" t="s">
        <v>163</v>
      </c>
      <c r="I2" s="1291" t="s">
        <v>162</v>
      </c>
      <c r="J2" s="158">
        <v>0</v>
      </c>
      <c r="K2" s="156" t="s">
        <v>157</v>
      </c>
    </row>
    <row r="3" spans="2:11">
      <c r="B3" s="159"/>
      <c r="C3" s="160" t="s">
        <v>57</v>
      </c>
      <c r="D3" s="1291" t="s">
        <v>557</v>
      </c>
      <c r="E3" s="1310" t="s">
        <v>166</v>
      </c>
      <c r="F3" s="1300"/>
      <c r="G3" s="1292"/>
      <c r="H3" s="1292"/>
      <c r="I3" s="1292"/>
      <c r="J3" s="162">
        <v>1</v>
      </c>
      <c r="K3" s="156" t="s">
        <v>158</v>
      </c>
    </row>
    <row r="4" spans="2:11">
      <c r="B4" s="163"/>
      <c r="C4" s="160" t="s">
        <v>15</v>
      </c>
      <c r="D4" s="1292"/>
      <c r="E4" s="1311"/>
      <c r="G4" s="1294"/>
      <c r="H4" s="1292"/>
      <c r="I4" s="1292"/>
      <c r="J4" s="162">
        <v>2</v>
      </c>
      <c r="K4" s="156" t="s">
        <v>159</v>
      </c>
    </row>
    <row r="5" spans="2:11">
      <c r="B5" s="163"/>
      <c r="C5" s="160" t="s">
        <v>0</v>
      </c>
      <c r="D5" s="1294"/>
      <c r="H5" s="1294"/>
      <c r="I5" s="1292"/>
      <c r="J5" s="162">
        <v>3</v>
      </c>
      <c r="K5" s="156" t="s">
        <v>160</v>
      </c>
    </row>
    <row r="6" spans="2:11" ht="12.9" thickBot="1">
      <c r="B6" s="163"/>
      <c r="C6" s="160" t="s">
        <v>344</v>
      </c>
      <c r="I6" s="1294"/>
      <c r="J6" s="164">
        <v>4</v>
      </c>
      <c r="K6" s="156" t="s">
        <v>161</v>
      </c>
    </row>
    <row r="7" spans="2:11">
      <c r="B7" s="163"/>
      <c r="C7" s="160" t="s">
        <v>58</v>
      </c>
    </row>
    <row r="8" spans="2:11">
      <c r="B8" s="165"/>
      <c r="C8" s="166" t="s">
        <v>1</v>
      </c>
      <c r="E8" s="161"/>
      <c r="F8" s="161"/>
      <c r="G8" s="161"/>
      <c r="H8" s="1291" t="s">
        <v>167</v>
      </c>
      <c r="I8" s="1308"/>
      <c r="J8" s="139">
        <v>0</v>
      </c>
    </row>
    <row r="9" spans="2:11" ht="13.4" customHeight="1">
      <c r="E9" s="1312" t="s">
        <v>168</v>
      </c>
      <c r="F9" s="1313"/>
      <c r="G9" s="1313"/>
      <c r="H9" s="1294"/>
      <c r="I9" s="1309"/>
      <c r="J9" s="141">
        <v>6</v>
      </c>
    </row>
    <row r="10" spans="2:11" ht="13.4" customHeight="1">
      <c r="B10" s="1317" t="s">
        <v>233</v>
      </c>
      <c r="C10" s="139" t="str">
        <f ca="1">IF('TS3500'!$F$8=$C$135,INDEX(indirectDSframesList,Table!$C$34+1),INDEX(indirectDSframesList, Table!$D$28+1))</f>
        <v>DandS24frames</v>
      </c>
      <c r="E10" s="168"/>
      <c r="F10" s="168"/>
      <c r="G10" s="168"/>
      <c r="H10" s="168"/>
      <c r="I10" s="168"/>
    </row>
    <row r="11" spans="2:11" ht="13.4" customHeight="1">
      <c r="B11" s="1318"/>
      <c r="C11" s="140" t="str">
        <f ca="1">IF('TS3500'!$F$8=$C$135,INDEX(indirectDSframesList,Table!$D$34+1),INDEX(indirectDSframesList, Table!$D$28+1))</f>
        <v>DandS24frames</v>
      </c>
      <c r="E11" s="1295" t="s">
        <v>169</v>
      </c>
      <c r="F11" s="1296"/>
      <c r="G11" s="1296"/>
      <c r="H11" s="1296"/>
      <c r="I11" s="1297"/>
      <c r="J11" s="10" t="str">
        <f>CONCATENATE("IOslotsBASE",IF('TS3100 3200 3310 3400 4300'!H28&gt;6,"wEXP","ONLY"))</f>
        <v>IOslotsBASEONLY</v>
      </c>
    </row>
    <row r="12" spans="2:11" ht="13.4" customHeight="1">
      <c r="B12" s="1318"/>
      <c r="C12" s="140" t="str">
        <f ca="1">IF('TS3500'!$F$8=$C$135,INDEX(indirectDSframesList,Table!$E$34+1),INDEX(indirectDSframesList, Table!$D$28+1))</f>
        <v>DandS24frames</v>
      </c>
    </row>
    <row r="13" spans="2:11" ht="13.4" customHeight="1">
      <c r="B13" s="1318"/>
      <c r="C13" s="140" t="str">
        <f ca="1">IF('TS3500'!$F$8=$C$135,INDEX(indirectDSframesList,Table!$F$34+1),INDEX(indirectDSframesList, Table!$D$28+1))</f>
        <v>DandS24frames</v>
      </c>
      <c r="E13" s="1295" t="s">
        <v>171</v>
      </c>
      <c r="F13" s="1296"/>
      <c r="G13" s="1296"/>
      <c r="H13" s="1296"/>
      <c r="I13" s="1297"/>
      <c r="J13" s="10" t="str">
        <f>CONCATENATE("NUM0TO",TEXT('TS3100 3200 3310 3400 4300'!E20,"0"))</f>
        <v>NUM0TO4</v>
      </c>
    </row>
    <row r="14" spans="2:11" ht="13.4" customHeight="1">
      <c r="B14" s="1318"/>
      <c r="C14" s="140" t="str">
        <f ca="1">IF('TS3500'!$F$8=$C$135,INDEX(indirectDSframesList,Table!$G$34+1),INDEX(indirectDSframesList, Table!$D$28+1))</f>
        <v>DandS24frames</v>
      </c>
    </row>
    <row r="15" spans="2:11" ht="13.4" customHeight="1">
      <c r="B15" s="1318"/>
      <c r="C15" s="140" t="str">
        <f ca="1">IF('TS3500'!$F$8=$C$135,INDEX(indirectDSframesList,Table!$H$34+1),INDEX(indirectDSframesList, Table!$D$28+1))</f>
        <v>DandS24frames</v>
      </c>
      <c r="H15" s="1291" t="s">
        <v>170</v>
      </c>
      <c r="I15" s="1308"/>
      <c r="J15" s="139">
        <v>0</v>
      </c>
    </row>
    <row r="16" spans="2:11" ht="13.4" customHeight="1">
      <c r="B16" s="1318"/>
      <c r="C16" s="140" t="str">
        <f ca="1">IF('TS3500'!$F$8=$C$135,INDEX(indirectDSframesList,Table!$I$34+1),INDEX(indirectDSframesList, Table!$D$28+1))</f>
        <v>DandS24frames</v>
      </c>
      <c r="H16" s="1294"/>
      <c r="I16" s="1309"/>
      <c r="J16" s="141">
        <v>12</v>
      </c>
    </row>
    <row r="17" spans="2:11" ht="13.4" customHeight="1">
      <c r="B17" s="1318"/>
      <c r="C17" s="140" t="str">
        <f ca="1">IF('TS3500'!$F$8=$C$135,INDEX(indirectDSframesList,Table!$J$34+1),INDEX(indirectDSframesList, Table!$D$28+1))</f>
        <v>DandS24frames</v>
      </c>
      <c r="J17" s="153"/>
    </row>
    <row r="18" spans="2:11" ht="13.4" customHeight="1">
      <c r="B18" s="1318"/>
      <c r="C18" s="140" t="str">
        <f ca="1">IF('TS3500'!$F$8=$C$135,INDEX(indirectDSframesList,Table!$K$34+1),INDEX(indirectDSframesList, Table!$D$28+1))</f>
        <v>DandS24frames</v>
      </c>
      <c r="H18" s="1291" t="s">
        <v>173</v>
      </c>
      <c r="I18" s="1308"/>
      <c r="J18" s="139">
        <v>0</v>
      </c>
    </row>
    <row r="19" spans="2:11" ht="13.4" customHeight="1">
      <c r="B19" s="1318"/>
      <c r="C19" s="140" t="str">
        <f ca="1">IF('TS3500'!$F$8=$C$135,INDEX(indirectDSframesList,Table!$L$34+1),INDEX(indirectDSframesList, Table!$D$28+1))</f>
        <v>DandS24frames</v>
      </c>
      <c r="H19" s="1294"/>
      <c r="I19" s="1309"/>
      <c r="J19" s="141">
        <v>3</v>
      </c>
    </row>
    <row r="20" spans="2:11" ht="13.4" customHeight="1" thickBot="1">
      <c r="B20" s="1318"/>
      <c r="C20" s="140" t="str">
        <f ca="1">IF('TS3500'!$F$8=$C$135,INDEX(indirectDSframesList,Table!$M$34+1),INDEX(indirectDSframesList, Table!$D$28+1))</f>
        <v>DandS24frames</v>
      </c>
      <c r="E20" s="168"/>
      <c r="F20" s="168"/>
      <c r="G20" s="168"/>
      <c r="H20" s="168"/>
      <c r="I20" s="168"/>
    </row>
    <row r="21" spans="2:11" ht="13.4" customHeight="1">
      <c r="B21" s="1318"/>
      <c r="C21" s="140" t="str">
        <f ca="1">IF('TS3500'!$F$8=$C$135,INDEX(indirectDSframesList,Table!$N$34+1),INDEX(indirectDSframesList, Table!$D$28+1))</f>
        <v>DandS24frames</v>
      </c>
      <c r="E21" s="1291" t="s">
        <v>250</v>
      </c>
      <c r="F21" s="1298"/>
      <c r="G21" s="1298"/>
      <c r="H21" s="1298"/>
      <c r="I21" s="1298"/>
      <c r="J21" s="158" t="s">
        <v>252</v>
      </c>
      <c r="K21" s="153">
        <v>1</v>
      </c>
    </row>
    <row r="22" spans="2:11" ht="13.4" customHeight="1">
      <c r="B22" s="1318"/>
      <c r="C22" s="140" t="str">
        <f ca="1">IF('TS3500'!$F$8=$C$135,INDEX(indirectDSframesList,Table!$O$34+1),INDEX(indirectDSframesList, Table!$D$28+1))</f>
        <v>DandS24frames</v>
      </c>
      <c r="E22" s="1292"/>
      <c r="F22" s="1299"/>
      <c r="G22" s="1299"/>
      <c r="H22" s="1299"/>
      <c r="I22" s="1299"/>
      <c r="J22" s="162" t="s">
        <v>253</v>
      </c>
      <c r="K22" s="153">
        <v>1</v>
      </c>
    </row>
    <row r="23" spans="2:11" ht="13.4" customHeight="1" thickBot="1">
      <c r="B23" s="1318"/>
      <c r="C23" s="140" t="str">
        <f ca="1">IF('TS3500'!$F$8=$C$135,INDEX(indirectDSframesList,Table!$P$34+1),INDEX(indirectDSframesList, Table!$D$28+1))</f>
        <v>DandS24frames</v>
      </c>
      <c r="E23" s="1294"/>
      <c r="F23" s="1300"/>
      <c r="G23" s="1300"/>
      <c r="H23" s="1300"/>
      <c r="I23" s="1300"/>
      <c r="J23" s="164" t="s">
        <v>254</v>
      </c>
      <c r="K23" s="153">
        <v>2</v>
      </c>
    </row>
    <row r="24" spans="2:11" ht="12.9" thickBot="1">
      <c r="B24" s="1319"/>
      <c r="C24" s="141" t="str">
        <f ca="1">IF('TS3500'!$F$8=$C$135,INDEX(indirectDSframesList,Table!$Q$34+1),INDEX(indirectDSframesList, Table!$D$28+1))</f>
        <v>DandS24frames</v>
      </c>
      <c r="E24" s="168"/>
      <c r="F24" s="168"/>
      <c r="G24" s="168"/>
      <c r="H24" s="168"/>
      <c r="I24" s="168"/>
    </row>
    <row r="25" spans="2:11">
      <c r="E25" s="1291" t="s">
        <v>251</v>
      </c>
      <c r="F25" s="1298"/>
      <c r="G25" s="1298"/>
      <c r="H25" s="1298"/>
      <c r="I25" s="1301"/>
      <c r="J25" s="158" t="s">
        <v>252</v>
      </c>
      <c r="K25" s="153">
        <v>1</v>
      </c>
    </row>
    <row r="26" spans="2:11">
      <c r="B26" s="154" t="s">
        <v>66</v>
      </c>
      <c r="C26" s="155" t="s">
        <v>347</v>
      </c>
      <c r="E26" s="1292"/>
      <c r="F26" s="1299"/>
      <c r="G26" s="1299"/>
      <c r="H26" s="1299"/>
      <c r="I26" s="1302"/>
      <c r="J26" s="162" t="s">
        <v>258</v>
      </c>
      <c r="K26" s="153">
        <v>2</v>
      </c>
    </row>
    <row r="27" spans="2:11">
      <c r="B27" s="159"/>
      <c r="C27" s="160" t="s">
        <v>59</v>
      </c>
      <c r="E27" s="1292"/>
      <c r="F27" s="1299"/>
      <c r="G27" s="1299"/>
      <c r="H27" s="1299"/>
      <c r="I27" s="1302"/>
      <c r="J27" s="162" t="s">
        <v>259</v>
      </c>
      <c r="K27" s="153">
        <v>3</v>
      </c>
    </row>
    <row r="28" spans="2:11">
      <c r="B28" s="159"/>
      <c r="C28" s="160" t="s">
        <v>22</v>
      </c>
      <c r="D28" s="10"/>
      <c r="E28" s="1292"/>
      <c r="F28" s="1299"/>
      <c r="G28" s="1299"/>
      <c r="H28" s="1299"/>
      <c r="I28" s="1302"/>
      <c r="J28" s="162" t="s">
        <v>255</v>
      </c>
      <c r="K28" s="153">
        <v>2</v>
      </c>
    </row>
    <row r="29" spans="2:11">
      <c r="B29" s="159"/>
      <c r="C29" s="160" t="s">
        <v>13</v>
      </c>
      <c r="D29" s="10"/>
      <c r="E29" s="1292"/>
      <c r="F29" s="1299"/>
      <c r="G29" s="1299"/>
      <c r="H29" s="1299"/>
      <c r="I29" s="1302"/>
      <c r="J29" s="162" t="s">
        <v>253</v>
      </c>
      <c r="K29" s="153">
        <v>1</v>
      </c>
    </row>
    <row r="30" spans="2:11">
      <c r="B30" s="159"/>
      <c r="C30" s="160" t="s">
        <v>348</v>
      </c>
      <c r="D30" s="10"/>
      <c r="E30" s="1292"/>
      <c r="F30" s="1299"/>
      <c r="G30" s="1299"/>
      <c r="H30" s="1299"/>
      <c r="I30" s="1302"/>
      <c r="J30" s="162" t="s">
        <v>254</v>
      </c>
      <c r="K30" s="153">
        <v>2</v>
      </c>
    </row>
    <row r="31" spans="2:11">
      <c r="B31" s="159"/>
      <c r="C31" s="160" t="s">
        <v>60</v>
      </c>
      <c r="D31" s="10"/>
      <c r="E31" s="1303"/>
      <c r="F31" s="1206"/>
      <c r="G31" s="1206"/>
      <c r="H31" s="1206"/>
      <c r="I31" s="1304"/>
      <c r="J31" s="162" t="s">
        <v>256</v>
      </c>
      <c r="K31" s="153">
        <v>3</v>
      </c>
    </row>
    <row r="32" spans="2:11" ht="12.9" thickBot="1">
      <c r="B32" s="165"/>
      <c r="C32" s="166" t="s">
        <v>5</v>
      </c>
      <c r="D32" s="10"/>
      <c r="E32" s="1305"/>
      <c r="F32" s="1306"/>
      <c r="G32" s="1306"/>
      <c r="H32" s="1306"/>
      <c r="I32" s="1307"/>
      <c r="J32" s="164" t="s">
        <v>257</v>
      </c>
      <c r="K32" s="153">
        <v>4</v>
      </c>
    </row>
    <row r="33" spans="2:10">
      <c r="D33" s="10"/>
      <c r="J33" s="153"/>
    </row>
    <row r="34" spans="2:10">
      <c r="B34" s="154" t="s">
        <v>203</v>
      </c>
      <c r="C34" s="155" t="s">
        <v>349</v>
      </c>
      <c r="D34" s="10"/>
    </row>
    <row r="35" spans="2:10">
      <c r="B35" s="159"/>
      <c r="C35" s="160" t="s">
        <v>59</v>
      </c>
      <c r="D35" s="10"/>
    </row>
    <row r="36" spans="2:10">
      <c r="B36" s="159"/>
      <c r="C36" s="160" t="s">
        <v>22</v>
      </c>
      <c r="D36" s="10"/>
    </row>
    <row r="37" spans="2:10">
      <c r="B37" s="159"/>
      <c r="C37" s="160" t="s">
        <v>13</v>
      </c>
      <c r="D37" s="10"/>
    </row>
    <row r="38" spans="2:10">
      <c r="B38" s="159"/>
      <c r="C38" s="160" t="s">
        <v>350</v>
      </c>
      <c r="D38" s="10"/>
    </row>
    <row r="39" spans="2:10">
      <c r="B39" s="159"/>
      <c r="C39" s="160" t="s">
        <v>60</v>
      </c>
      <c r="D39" s="10"/>
    </row>
    <row r="40" spans="2:10">
      <c r="B40" s="159"/>
      <c r="C40" s="160" t="s">
        <v>5</v>
      </c>
      <c r="D40" s="10"/>
    </row>
    <row r="41" spans="2:10">
      <c r="B41" s="159"/>
      <c r="C41" s="160" t="s">
        <v>351</v>
      </c>
      <c r="D41" s="10"/>
    </row>
    <row r="42" spans="2:10">
      <c r="B42" s="165"/>
      <c r="C42" s="166" t="s">
        <v>196</v>
      </c>
      <c r="D42" s="10"/>
    </row>
    <row r="43" spans="2:10">
      <c r="D43" s="10"/>
    </row>
    <row r="44" spans="2:10">
      <c r="B44" s="154" t="s">
        <v>204</v>
      </c>
      <c r="C44" s="155" t="s">
        <v>349</v>
      </c>
      <c r="D44" s="10"/>
    </row>
    <row r="45" spans="2:10">
      <c r="B45" s="159"/>
      <c r="C45" s="160" t="s">
        <v>59</v>
      </c>
      <c r="D45" s="10"/>
      <c r="J45" s="153"/>
    </row>
    <row r="46" spans="2:10">
      <c r="B46" s="159"/>
      <c r="C46" s="160" t="s">
        <v>22</v>
      </c>
      <c r="D46" s="10"/>
      <c r="J46" s="153"/>
    </row>
    <row r="47" spans="2:10">
      <c r="B47" s="159"/>
      <c r="C47" s="160" t="s">
        <v>13</v>
      </c>
      <c r="D47" s="10"/>
      <c r="J47" s="153"/>
    </row>
    <row r="48" spans="2:10">
      <c r="B48" s="159"/>
      <c r="C48" s="160" t="s">
        <v>350</v>
      </c>
      <c r="D48" s="10"/>
      <c r="J48" s="153"/>
    </row>
    <row r="49" spans="2:10">
      <c r="B49" s="159"/>
      <c r="C49" s="160" t="s">
        <v>60</v>
      </c>
      <c r="D49" s="10"/>
      <c r="J49" s="153"/>
    </row>
    <row r="50" spans="2:10">
      <c r="B50" s="159"/>
      <c r="C50" s="160" t="s">
        <v>5</v>
      </c>
      <c r="D50" s="10"/>
      <c r="J50" s="153"/>
    </row>
    <row r="51" spans="2:10">
      <c r="B51" s="159"/>
      <c r="C51" s="160" t="s">
        <v>351</v>
      </c>
      <c r="D51" s="10"/>
      <c r="J51" s="153"/>
    </row>
    <row r="52" spans="2:10">
      <c r="B52" s="165"/>
      <c r="C52" s="166" t="s">
        <v>197</v>
      </c>
      <c r="D52" s="10"/>
      <c r="J52" s="153"/>
    </row>
    <row r="53" spans="2:10">
      <c r="D53" s="10"/>
      <c r="J53" s="153"/>
    </row>
    <row r="54" spans="2:10">
      <c r="B54" s="154" t="s">
        <v>205</v>
      </c>
      <c r="C54" s="155" t="s">
        <v>349</v>
      </c>
      <c r="D54" s="10"/>
      <c r="J54" s="153"/>
    </row>
    <row r="55" spans="2:10">
      <c r="B55" s="159"/>
      <c r="C55" s="160" t="s">
        <v>59</v>
      </c>
      <c r="D55" s="10"/>
      <c r="J55" s="153"/>
    </row>
    <row r="56" spans="2:10">
      <c r="B56" s="159"/>
      <c r="C56" s="160" t="s">
        <v>22</v>
      </c>
      <c r="D56" s="10"/>
      <c r="J56" s="153"/>
    </row>
    <row r="57" spans="2:10">
      <c r="B57" s="159"/>
      <c r="C57" s="160" t="s">
        <v>13</v>
      </c>
      <c r="D57" s="10"/>
      <c r="J57" s="153"/>
    </row>
    <row r="58" spans="2:10">
      <c r="B58" s="159"/>
      <c r="C58" s="160" t="s">
        <v>350</v>
      </c>
      <c r="D58" s="10"/>
      <c r="J58" s="153"/>
    </row>
    <row r="59" spans="2:10">
      <c r="B59" s="159"/>
      <c r="C59" s="160" t="s">
        <v>60</v>
      </c>
      <c r="D59" s="10"/>
      <c r="J59" s="153"/>
    </row>
    <row r="60" spans="2:10">
      <c r="B60" s="159"/>
      <c r="C60" s="160" t="s">
        <v>5</v>
      </c>
      <c r="D60" s="10"/>
      <c r="J60" s="153"/>
    </row>
    <row r="61" spans="2:10">
      <c r="B61" s="159"/>
      <c r="C61" s="160" t="s">
        <v>351</v>
      </c>
      <c r="D61" s="10"/>
      <c r="J61" s="153"/>
    </row>
    <row r="62" spans="2:10">
      <c r="B62" s="159"/>
      <c r="C62" s="160" t="s">
        <v>196</v>
      </c>
      <c r="D62" s="10"/>
      <c r="J62" s="153"/>
    </row>
    <row r="63" spans="2:10">
      <c r="B63" s="165"/>
      <c r="C63" s="166" t="s">
        <v>197</v>
      </c>
      <c r="D63" s="10"/>
      <c r="J63" s="153"/>
    </row>
    <row r="64" spans="2:10">
      <c r="J64" s="153"/>
    </row>
    <row r="65" spans="2:10">
      <c r="B65" s="169" t="s">
        <v>28</v>
      </c>
      <c r="C65" s="12" t="str">
        <f>CONCATENATE("TS",'TS3500'!$F$7,IF('TS3500'!F5=1,"ODS","ODM"))</f>
        <v>TSL23ODM</v>
      </c>
    </row>
    <row r="66" spans="2:10">
      <c r="J66" s="153"/>
    </row>
    <row r="67" spans="2:10">
      <c r="B67" s="1291" t="s">
        <v>87</v>
      </c>
      <c r="C67" s="155" t="s">
        <v>2</v>
      </c>
      <c r="J67" s="153"/>
    </row>
    <row r="68" spans="2:10">
      <c r="B68" s="1292"/>
      <c r="C68" s="160" t="s">
        <v>3</v>
      </c>
      <c r="H68" s="168"/>
      <c r="I68" s="168"/>
    </row>
    <row r="69" spans="2:10">
      <c r="B69" s="1294"/>
      <c r="C69" s="166" t="s">
        <v>4</v>
      </c>
    </row>
    <row r="70" spans="2:10">
      <c r="B70" s="168"/>
    </row>
    <row r="71" spans="2:10">
      <c r="B71" s="167" t="s">
        <v>88</v>
      </c>
      <c r="C71" s="12" t="s">
        <v>4</v>
      </c>
    </row>
    <row r="73" spans="2:10">
      <c r="B73" s="1291" t="s">
        <v>89</v>
      </c>
      <c r="C73" s="155" t="s">
        <v>2</v>
      </c>
    </row>
    <row r="74" spans="2:10">
      <c r="B74" s="1292"/>
      <c r="C74" s="160" t="s">
        <v>3</v>
      </c>
    </row>
    <row r="75" spans="2:10">
      <c r="B75" s="1294"/>
      <c r="C75" s="166" t="s">
        <v>4</v>
      </c>
    </row>
    <row r="76" spans="2:10">
      <c r="B76" s="168"/>
    </row>
    <row r="77" spans="2:10">
      <c r="B77" s="167" t="s">
        <v>90</v>
      </c>
      <c r="C77" s="12" t="s">
        <v>4</v>
      </c>
    </row>
    <row r="79" spans="2:10">
      <c r="B79" s="1291" t="s">
        <v>91</v>
      </c>
      <c r="C79" s="155" t="s">
        <v>2</v>
      </c>
    </row>
    <row r="80" spans="2:10">
      <c r="B80" s="1292"/>
      <c r="C80" s="160" t="s">
        <v>3</v>
      </c>
    </row>
    <row r="81" spans="2:5">
      <c r="B81" s="1294"/>
      <c r="C81" s="166" t="s">
        <v>4</v>
      </c>
    </row>
    <row r="82" spans="2:5">
      <c r="B82" s="168"/>
    </row>
    <row r="83" spans="2:5">
      <c r="B83" s="167" t="s">
        <v>92</v>
      </c>
      <c r="C83" s="12" t="s">
        <v>4</v>
      </c>
    </row>
    <row r="85" spans="2:5">
      <c r="B85" s="1291" t="s">
        <v>93</v>
      </c>
      <c r="C85" s="155" t="s">
        <v>2</v>
      </c>
    </row>
    <row r="86" spans="2:5">
      <c r="B86" s="1292"/>
      <c r="C86" s="160" t="s">
        <v>3</v>
      </c>
    </row>
    <row r="87" spans="2:5">
      <c r="B87" s="1294"/>
      <c r="C87" s="166" t="s">
        <v>4</v>
      </c>
    </row>
    <row r="88" spans="2:5">
      <c r="B88" s="168"/>
    </row>
    <row r="89" spans="2:5">
      <c r="B89" s="167" t="s">
        <v>94</v>
      </c>
      <c r="C89" s="12" t="s">
        <v>4</v>
      </c>
    </row>
    <row r="91" spans="2:5">
      <c r="B91" s="1291" t="s">
        <v>95</v>
      </c>
      <c r="C91" s="155" t="s">
        <v>24</v>
      </c>
    </row>
    <row r="92" spans="2:5">
      <c r="B92" s="1294"/>
      <c r="C92" s="166" t="s">
        <v>25</v>
      </c>
    </row>
    <row r="94" spans="2:5">
      <c r="B94" s="169" t="s">
        <v>96</v>
      </c>
      <c r="C94" s="12" t="s">
        <v>25</v>
      </c>
    </row>
    <row r="96" spans="2:5">
      <c r="B96" s="169" t="s">
        <v>27</v>
      </c>
      <c r="C96" s="12" t="str">
        <f ca="1">CONCATENATE("TS",'TS3500'!$F$7,SUBSTITUTE('TS3500'!$F$10," ","_"),"IO",IF(OR(AND(OR('TS3500'!$F7="L53",'TS3500'!$F7="L52",'TS3500'!$F7="L32"),Table!D26&gt;0),AND(OR('TS3500'!$F7="L23",'TS3500'!$F7="L22"),Table!D27&gt;0)),"Mixed",""))</f>
        <v>TSL23FullIO</v>
      </c>
      <c r="E96" s="10"/>
    </row>
    <row r="98" spans="2:3">
      <c r="B98" s="169" t="s">
        <v>97</v>
      </c>
      <c r="C98" s="12" t="s">
        <v>85</v>
      </c>
    </row>
    <row r="100" spans="2:3">
      <c r="B100" s="169" t="s">
        <v>98</v>
      </c>
      <c r="C100" s="12" t="s">
        <v>85</v>
      </c>
    </row>
    <row r="102" spans="2:3">
      <c r="B102" s="1291" t="s">
        <v>99</v>
      </c>
      <c r="C102" s="155" t="s">
        <v>85</v>
      </c>
    </row>
    <row r="103" spans="2:3">
      <c r="B103" s="1294"/>
      <c r="C103" s="166" t="s">
        <v>86</v>
      </c>
    </row>
    <row r="104" spans="2:3">
      <c r="B104" s="167" t="s">
        <v>100</v>
      </c>
      <c r="C104" s="12" t="s">
        <v>81</v>
      </c>
    </row>
    <row r="106" spans="2:3">
      <c r="B106" s="169" t="s">
        <v>101</v>
      </c>
      <c r="C106" s="12" t="s">
        <v>85</v>
      </c>
    </row>
    <row r="108" spans="2:3">
      <c r="B108" s="169" t="s">
        <v>102</v>
      </c>
      <c r="C108" s="12" t="s">
        <v>85</v>
      </c>
    </row>
    <row r="110" spans="2:3">
      <c r="B110" s="1291" t="s">
        <v>103</v>
      </c>
      <c r="C110" s="155" t="s">
        <v>85</v>
      </c>
    </row>
    <row r="111" spans="2:3">
      <c r="B111" s="1294"/>
      <c r="C111" s="166" t="s">
        <v>86</v>
      </c>
    </row>
    <row r="112" spans="2:3">
      <c r="B112" s="167" t="s">
        <v>104</v>
      </c>
      <c r="C112" s="12" t="s">
        <v>81</v>
      </c>
    </row>
    <row r="114" spans="2:3">
      <c r="B114" s="169" t="s">
        <v>105</v>
      </c>
      <c r="C114" s="12" t="s">
        <v>82</v>
      </c>
    </row>
    <row r="116" spans="2:3">
      <c r="B116" s="169" t="s">
        <v>106</v>
      </c>
      <c r="C116" s="12" t="s">
        <v>82</v>
      </c>
    </row>
    <row r="118" spans="2:3">
      <c r="B118" s="1291" t="s">
        <v>107</v>
      </c>
      <c r="C118" s="155" t="s">
        <v>82</v>
      </c>
    </row>
    <row r="119" spans="2:3">
      <c r="B119" s="1294"/>
      <c r="C119" s="166" t="s">
        <v>83</v>
      </c>
    </row>
    <row r="120" spans="2:3">
      <c r="B120" s="167" t="s">
        <v>108</v>
      </c>
      <c r="C120" s="12" t="s">
        <v>84</v>
      </c>
    </row>
    <row r="121" spans="2:3">
      <c r="B121" s="168"/>
    </row>
    <row r="122" spans="2:3">
      <c r="B122" s="169" t="s">
        <v>109</v>
      </c>
      <c r="C122" s="12" t="s">
        <v>82</v>
      </c>
    </row>
    <row r="124" spans="2:3">
      <c r="B124" s="169" t="s">
        <v>110</v>
      </c>
      <c r="C124" s="12" t="s">
        <v>82</v>
      </c>
    </row>
    <row r="126" spans="2:3">
      <c r="B126" s="1291" t="s">
        <v>111</v>
      </c>
      <c r="C126" s="155" t="s">
        <v>82</v>
      </c>
    </row>
    <row r="127" spans="2:3">
      <c r="B127" s="1294"/>
      <c r="C127" s="166" t="s">
        <v>83</v>
      </c>
    </row>
    <row r="128" spans="2:3">
      <c r="B128" s="167" t="s">
        <v>112</v>
      </c>
      <c r="C128" s="12" t="s">
        <v>84</v>
      </c>
    </row>
    <row r="130" spans="2:3">
      <c r="B130" s="167" t="s">
        <v>113</v>
      </c>
      <c r="C130" s="12" t="s">
        <v>79</v>
      </c>
    </row>
    <row r="131" spans="2:3">
      <c r="B131" s="1291" t="s">
        <v>114</v>
      </c>
      <c r="C131" s="155" t="s">
        <v>79</v>
      </c>
    </row>
    <row r="132" spans="2:3">
      <c r="B132" s="1294"/>
      <c r="C132" s="166" t="s">
        <v>80</v>
      </c>
    </row>
    <row r="133" spans="2:3">
      <c r="B133" s="167" t="s">
        <v>115</v>
      </c>
      <c r="C133" s="12" t="s">
        <v>78</v>
      </c>
    </row>
    <row r="134" spans="2:3">
      <c r="B134" s="168"/>
    </row>
    <row r="135" spans="2:3">
      <c r="B135" s="1317" t="s">
        <v>239</v>
      </c>
      <c r="C135" s="139" t="s">
        <v>245</v>
      </c>
    </row>
    <row r="136" spans="2:3">
      <c r="B136" s="1320"/>
      <c r="C136" s="141" t="s">
        <v>246</v>
      </c>
    </row>
    <row r="137" spans="2:3">
      <c r="B137" s="168"/>
    </row>
    <row r="138" spans="2:3">
      <c r="B138" s="168" t="s">
        <v>118</v>
      </c>
      <c r="C138" s="10" t="s">
        <v>119</v>
      </c>
    </row>
    <row r="139" spans="2:3">
      <c r="B139" s="1317" t="s">
        <v>232</v>
      </c>
      <c r="C139" s="139" t="str">
        <f>IF(OR('TS3500'!J$7="S24",'TS3500'!J$7="S54"),"Sx4frameOD",CONCATENATE("TSDframe",IF('TS3500'!J$12=1,"IOStation","NOIO")))</f>
        <v>TSDframeIOStation</v>
      </c>
    </row>
    <row r="140" spans="2:3">
      <c r="B140" s="1318"/>
      <c r="C140" s="140" t="str">
        <f>IF(OR('TS3500'!K$7="S24",'TS3500'!K$7="S54"),"Sx4frameOD",CONCATENATE("TSDframe",IF('TS3500'!K$12=1,"IOStation","NOIO")))</f>
        <v>TSDframeNOIO</v>
      </c>
    </row>
    <row r="141" spans="2:3">
      <c r="B141" s="1318"/>
      <c r="C141" s="140" t="str">
        <f>IF(OR('TS3500'!L$7="S24",'TS3500'!L$7="S54"),"Sx4frameOD",CONCATENATE("TSDframe",IF('TS3500'!L$12=1,"IOStation","NOIO")))</f>
        <v>TSDframeNOIO</v>
      </c>
    </row>
    <row r="142" spans="2:3">
      <c r="B142" s="1318"/>
      <c r="C142" s="140" t="str">
        <f>IF(OR('TS3500'!M$7="S24",'TS3500'!M$7="S54"),"Sx4frameOD",CONCATENATE("TSDframe",IF('TS3500'!M$12=1,"IOStation","NOIO")))</f>
        <v>TSDframeNOIO</v>
      </c>
    </row>
    <row r="143" spans="2:3">
      <c r="B143" s="1318"/>
      <c r="C143" s="140" t="str">
        <f>IF(OR('TS3500'!N$7="S24",'TS3500'!N$7="S54"),"Sx4frameOD",CONCATENATE("TSDframe",IF('TS3500'!N$12=1,"IOStation","NOIO")))</f>
        <v>TSDframeNOIO</v>
      </c>
    </row>
    <row r="144" spans="2:3">
      <c r="B144" s="1318"/>
      <c r="C144" s="140" t="str">
        <f>IF(OR('TS3500'!O$7="S24",'TS3500'!O$7="S54"),"Sx4frameOD",CONCATENATE("TSDframe",IF('TS3500'!O$12=1,"IOStation","NOIO")))</f>
        <v>TSDframeNOIO</v>
      </c>
    </row>
    <row r="145" spans="2:3">
      <c r="B145" s="1318"/>
      <c r="C145" s="140" t="str">
        <f>IF(OR('TS3500'!P$7="S24",'TS3500'!P$7="S54"),"Sx4frameOD",CONCATENATE("TSDframe",IF('TS3500'!P$12=1,"IOStation","NOIO")))</f>
        <v>TSDframeNOIO</v>
      </c>
    </row>
    <row r="146" spans="2:3">
      <c r="B146" s="1318"/>
      <c r="C146" s="140" t="str">
        <f>IF(OR('TS3500'!Q$7="S24",'TS3500'!Q$7="S54"),"Sx4frameOD",CONCATENATE("TSDframe",IF('TS3500'!Q$12=1,"IOStation","NOIO")))</f>
        <v>TSDframeNOIO</v>
      </c>
    </row>
    <row r="147" spans="2:3">
      <c r="B147" s="1318"/>
      <c r="C147" s="140" t="str">
        <f>IF(OR('TS3500'!R$7="S24",'TS3500'!R$7="S54"),"Sx4frameOD",CONCATENATE("TSDframe",IF('TS3500'!R$12=1,"IOStation","NOIO")))</f>
        <v>TSDframeNOIO</v>
      </c>
    </row>
    <row r="148" spans="2:3">
      <c r="B148" s="1318"/>
      <c r="C148" s="140" t="str">
        <f>IF(OR('TS3500'!S$7="S24",'TS3500'!S$7="S54"),"Sx4frameOD",CONCATENATE("TSDframe",IF('TS3500'!S$12=1,"IOStation","NOIO")))</f>
        <v>TSDframeNOIO</v>
      </c>
    </row>
    <row r="149" spans="2:3">
      <c r="B149" s="1318"/>
      <c r="C149" s="140" t="str">
        <f>IF(OR('TS3500'!T$7="S24",'TS3500'!T$7="S54"),"Sx4frameOD",CONCATENATE("TSDframe",IF('TS3500'!T$12=1,"IOStation","NOIO")))</f>
        <v>TSDframeNOIO</v>
      </c>
    </row>
    <row r="150" spans="2:3">
      <c r="B150" s="1318"/>
      <c r="C150" s="140" t="str">
        <f>IF(OR('TS3500'!U$7="S24",'TS3500'!U$7="S54"),"Sx4frameOD",CONCATENATE("TSDframe",IF('TS3500'!U$12=1,"IOStation","NOIO")))</f>
        <v>TSDframeNOIO</v>
      </c>
    </row>
    <row r="151" spans="2:3">
      <c r="B151" s="1318"/>
      <c r="C151" s="140" t="str">
        <f>IF(OR('TS3500'!V$7="S24",'TS3500'!V$7="S54"),"Sx4frameOD",CONCATENATE("TSDframe",IF('TS3500'!V$12=1,"IOStation","NOIO")))</f>
        <v>TSDframeNOIO</v>
      </c>
    </row>
    <row r="152" spans="2:3">
      <c r="B152" s="1318"/>
      <c r="C152" s="140" t="str">
        <f>IF(OR('TS3500'!W$7="S24",'TS3500'!W$7="S54"),"Sx4frameOD",CONCATENATE("TSDframe",IF('TS3500'!W$12=1,"IOStation","NOIO")))</f>
        <v>TSDframeNOIO</v>
      </c>
    </row>
    <row r="153" spans="2:3">
      <c r="B153" s="1319"/>
      <c r="C153" s="141" t="str">
        <f>IF(OR('TS3500'!X$7="S24",'TS3500'!X$7="S54"),"Sx4frameOD",CONCATENATE("TSDframe",IF('TS3500'!X$12=1,"IOStation","NOIO")))</f>
        <v>TSDframeNOIO</v>
      </c>
    </row>
    <row r="154" spans="2:3">
      <c r="B154" s="168"/>
    </row>
    <row r="155" spans="2:3">
      <c r="B155" s="157" t="s">
        <v>121</v>
      </c>
      <c r="C155" s="155" t="s">
        <v>120</v>
      </c>
    </row>
    <row r="156" spans="2:3">
      <c r="B156" s="170" t="s">
        <v>129</v>
      </c>
      <c r="C156" s="171" t="s">
        <v>127</v>
      </c>
    </row>
    <row r="157" spans="2:3">
      <c r="B157" s="168"/>
      <c r="C157" s="172"/>
    </row>
    <row r="158" spans="2:3">
      <c r="B158" s="1317" t="s">
        <v>229</v>
      </c>
      <c r="C158" s="139" t="s">
        <v>201</v>
      </c>
    </row>
    <row r="159" spans="2:3">
      <c r="B159" s="1319"/>
      <c r="C159" s="141" t="s">
        <v>4</v>
      </c>
    </row>
    <row r="160" spans="2:3">
      <c r="B160" s="168"/>
      <c r="C160" s="172"/>
    </row>
    <row r="161" spans="2:3">
      <c r="B161" s="1317" t="s">
        <v>231</v>
      </c>
      <c r="C161" s="173" t="str">
        <f>IF(OR('TS3500'!J$7="S24",'TS3500'!J$7="S54"),"NumberDrives0","NumberDrives ")</f>
        <v xml:space="preserve">NumberDrives </v>
      </c>
    </row>
    <row r="162" spans="2:3">
      <c r="B162" s="1318"/>
      <c r="C162" s="174" t="str">
        <f>IF(OR('TS3500'!K$7="S24",'TS3500'!K$7="S54"),"NumberDrives0","NumberDrives ")</f>
        <v xml:space="preserve">NumberDrives </v>
      </c>
    </row>
    <row r="163" spans="2:3">
      <c r="B163" s="1318"/>
      <c r="C163" s="174" t="str">
        <f>IF(OR('TS3500'!L$7="S24",'TS3500'!L$7="S54"),"NumberDrives0","NumberDrives ")</f>
        <v xml:space="preserve">NumberDrives </v>
      </c>
    </row>
    <row r="164" spans="2:3">
      <c r="B164" s="1318"/>
      <c r="C164" s="174" t="str">
        <f>IF(OR('TS3500'!M$7="S24",'TS3500'!M$7="S54"),"NumberDrives0","NumberDrives ")</f>
        <v xml:space="preserve">NumberDrives </v>
      </c>
    </row>
    <row r="165" spans="2:3">
      <c r="B165" s="1318"/>
      <c r="C165" s="174" t="str">
        <f>IF(OR('TS3500'!N$7="S24",'TS3500'!N$7="S54"),"NumberDrives0","NumberDrives ")</f>
        <v xml:space="preserve">NumberDrives </v>
      </c>
    </row>
    <row r="166" spans="2:3">
      <c r="B166" s="1318"/>
      <c r="C166" s="174" t="str">
        <f>IF(OR('TS3500'!O$7="S24",'TS3500'!O$7="S54"),"NumberDrives0","NumberDrives ")</f>
        <v xml:space="preserve">NumberDrives </v>
      </c>
    </row>
    <row r="167" spans="2:3">
      <c r="B167" s="1318"/>
      <c r="C167" s="174" t="str">
        <f>IF(OR('TS3500'!P$7="S24",'TS3500'!P$7="S54"),"NumberDrives0","NumberDrives ")</f>
        <v xml:space="preserve">NumberDrives </v>
      </c>
    </row>
    <row r="168" spans="2:3">
      <c r="B168" s="1318"/>
      <c r="C168" s="174" t="str">
        <f>IF(OR('TS3500'!Q$7="S24",'TS3500'!Q$7="S54"),"NumberDrives0","NumberDrives ")</f>
        <v xml:space="preserve">NumberDrives </v>
      </c>
    </row>
    <row r="169" spans="2:3">
      <c r="B169" s="1318"/>
      <c r="C169" s="174" t="str">
        <f>IF(OR('TS3500'!R$7="S24",'TS3500'!R$7="S54"),"NumberDrives0","NumberDrives ")</f>
        <v xml:space="preserve">NumberDrives </v>
      </c>
    </row>
    <row r="170" spans="2:3">
      <c r="B170" s="1318"/>
      <c r="C170" s="174" t="str">
        <f>IF(OR('TS3500'!S$7="S24",'TS3500'!S$7="S54"),"NumberDrives0","NumberDrives ")</f>
        <v xml:space="preserve">NumberDrives </v>
      </c>
    </row>
    <row r="171" spans="2:3">
      <c r="B171" s="1318"/>
      <c r="C171" s="174" t="str">
        <f>IF(OR('TS3500'!T$7="S24",'TS3500'!T$7="S54"),"NumberDrives0","NumberDrives ")</f>
        <v xml:space="preserve">NumberDrives </v>
      </c>
    </row>
    <row r="172" spans="2:3">
      <c r="B172" s="1318"/>
      <c r="C172" s="174" t="str">
        <f>IF(OR('TS3500'!U$7="S24",'TS3500'!U$7="S54"),"NumberDrives0","NumberDrives ")</f>
        <v xml:space="preserve">NumberDrives </v>
      </c>
    </row>
    <row r="173" spans="2:3">
      <c r="B173" s="1318"/>
      <c r="C173" s="174" t="str">
        <f>IF(OR('TS3500'!V$7="S24",'TS3500'!V$7="S54"),"NumberDrives0","NumberDrives ")</f>
        <v xml:space="preserve">NumberDrives </v>
      </c>
    </row>
    <row r="174" spans="2:3">
      <c r="B174" s="1318"/>
      <c r="C174" s="174" t="str">
        <f>IF(OR('TS3500'!W$7="S24",'TS3500'!W$7="S54"),"NumberDrives0","NumberDrives ")</f>
        <v xml:space="preserve">NumberDrives </v>
      </c>
    </row>
    <row r="175" spans="2:3">
      <c r="B175" s="1319"/>
      <c r="C175" s="175" t="str">
        <f>IF(OR('TS3500'!X$7="S24",'TS3500'!X$7="S54"),"NumberDrives0","NumberDrives ")</f>
        <v xml:space="preserve">NumberDrives </v>
      </c>
    </row>
    <row r="176" spans="2:3">
      <c r="B176" s="168"/>
      <c r="C176" s="172"/>
    </row>
    <row r="177" spans="2:3">
      <c r="B177" s="156" t="s">
        <v>228</v>
      </c>
      <c r="C177" s="176">
        <v>0</v>
      </c>
    </row>
    <row r="178" spans="2:3">
      <c r="B178" s="1291" t="s">
        <v>29</v>
      </c>
      <c r="C178" s="155">
        <v>0</v>
      </c>
    </row>
    <row r="179" spans="2:3">
      <c r="B179" s="1292"/>
      <c r="C179" s="160">
        <v>1</v>
      </c>
    </row>
    <row r="180" spans="2:3">
      <c r="B180" s="1292"/>
      <c r="C180" s="160">
        <v>2</v>
      </c>
    </row>
    <row r="181" spans="2:3">
      <c r="B181" s="1292"/>
      <c r="C181" s="160">
        <v>3</v>
      </c>
    </row>
    <row r="182" spans="2:3">
      <c r="B182" s="1292"/>
      <c r="C182" s="160">
        <v>4</v>
      </c>
    </row>
    <row r="183" spans="2:3">
      <c r="B183" s="1292"/>
      <c r="C183" s="160">
        <v>5</v>
      </c>
    </row>
    <row r="184" spans="2:3">
      <c r="B184" s="1292"/>
      <c r="C184" s="160">
        <v>6</v>
      </c>
    </row>
    <row r="185" spans="2:3">
      <c r="B185" s="1292"/>
      <c r="C185" s="160">
        <v>7</v>
      </c>
    </row>
    <row r="186" spans="2:3">
      <c r="B186" s="1292"/>
      <c r="C186" s="160">
        <v>8</v>
      </c>
    </row>
    <row r="187" spans="2:3">
      <c r="B187" s="1292"/>
      <c r="C187" s="160">
        <v>9</v>
      </c>
    </row>
    <row r="188" spans="2:3">
      <c r="B188" s="1292"/>
      <c r="C188" s="160">
        <v>10</v>
      </c>
    </row>
    <row r="189" spans="2:3">
      <c r="B189" s="1292"/>
      <c r="C189" s="160">
        <v>11</v>
      </c>
    </row>
    <row r="190" spans="2:3">
      <c r="B190" s="1294"/>
      <c r="C190" s="166">
        <v>12</v>
      </c>
    </row>
    <row r="191" spans="2:3">
      <c r="B191" s="168"/>
    </row>
    <row r="192" spans="2:3">
      <c r="B192" s="1291" t="s">
        <v>32</v>
      </c>
      <c r="C192" s="155">
        <v>1</v>
      </c>
    </row>
    <row r="193" spans="2:3">
      <c r="B193" s="1292"/>
      <c r="C193" s="160">
        <v>2</v>
      </c>
    </row>
    <row r="194" spans="2:3">
      <c r="B194" s="1292"/>
      <c r="C194" s="160">
        <v>3</v>
      </c>
    </row>
    <row r="195" spans="2:3">
      <c r="B195" s="1292"/>
      <c r="C195" s="160">
        <v>4</v>
      </c>
    </row>
    <row r="196" spans="2:3">
      <c r="B196" s="1292"/>
      <c r="C196" s="160">
        <v>5</v>
      </c>
    </row>
    <row r="197" spans="2:3">
      <c r="B197" s="1292"/>
      <c r="C197" s="160">
        <v>6</v>
      </c>
    </row>
    <row r="198" spans="2:3">
      <c r="B198" s="1292"/>
      <c r="C198" s="160">
        <v>7</v>
      </c>
    </row>
    <row r="199" spans="2:3">
      <c r="B199" s="1292"/>
      <c r="C199" s="160">
        <v>8</v>
      </c>
    </row>
    <row r="200" spans="2:3">
      <c r="B200" s="1292"/>
      <c r="C200" s="160">
        <v>9</v>
      </c>
    </row>
    <row r="201" spans="2:3">
      <c r="B201" s="1292"/>
      <c r="C201" s="160">
        <v>10</v>
      </c>
    </row>
    <row r="202" spans="2:3">
      <c r="B202" s="1292"/>
      <c r="C202" s="160">
        <v>11</v>
      </c>
    </row>
    <row r="203" spans="2:3">
      <c r="B203" s="1292"/>
      <c r="C203" s="160">
        <v>12</v>
      </c>
    </row>
    <row r="204" spans="2:3">
      <c r="B204" s="1292"/>
      <c r="C204" s="160">
        <v>13</v>
      </c>
    </row>
    <row r="205" spans="2:3">
      <c r="B205" s="1292"/>
      <c r="C205" s="160">
        <v>14</v>
      </c>
    </row>
    <row r="206" spans="2:3">
      <c r="B206" s="1292"/>
      <c r="C206" s="160">
        <v>15</v>
      </c>
    </row>
    <row r="207" spans="2:3">
      <c r="B207" s="1294"/>
      <c r="C207" s="166">
        <v>16</v>
      </c>
    </row>
    <row r="208" spans="2:3" ht="12.9" thickBot="1"/>
    <row r="209" spans="2:4" ht="12.9" thickTop="1">
      <c r="B209" s="1317" t="s">
        <v>174</v>
      </c>
      <c r="C209" s="177" t="s">
        <v>178</v>
      </c>
      <c r="D209" s="178">
        <v>1</v>
      </c>
    </row>
    <row r="210" spans="2:4">
      <c r="B210" s="1318"/>
      <c r="C210" s="179" t="s">
        <v>181</v>
      </c>
      <c r="D210" s="180">
        <v>2</v>
      </c>
    </row>
    <row r="211" spans="2:4">
      <c r="B211" s="1318"/>
      <c r="C211" s="179" t="s">
        <v>324</v>
      </c>
      <c r="D211" s="180">
        <v>2.5</v>
      </c>
    </row>
    <row r="212" spans="2:4">
      <c r="B212" s="1318"/>
      <c r="C212" s="179" t="s">
        <v>179</v>
      </c>
      <c r="D212" s="180">
        <v>3</v>
      </c>
    </row>
    <row r="213" spans="2:4" ht="12.9" thickBot="1">
      <c r="B213" s="1319"/>
      <c r="C213" s="181" t="s">
        <v>180</v>
      </c>
      <c r="D213" s="182">
        <v>4</v>
      </c>
    </row>
    <row r="214" spans="2:4" ht="12.9" thickTop="1"/>
    <row r="215" spans="2:4">
      <c r="B215" s="1317" t="s">
        <v>225</v>
      </c>
      <c r="C215" s="173" t="s">
        <v>209</v>
      </c>
    </row>
    <row r="216" spans="2:4">
      <c r="B216" s="1318"/>
      <c r="C216" s="174" t="s">
        <v>210</v>
      </c>
    </row>
    <row r="217" spans="2:4">
      <c r="B217" s="1318"/>
      <c r="C217" s="174" t="s">
        <v>211</v>
      </c>
    </row>
    <row r="218" spans="2:4">
      <c r="B218" s="1318"/>
      <c r="C218" s="174" t="s">
        <v>212</v>
      </c>
    </row>
    <row r="219" spans="2:4">
      <c r="B219" s="1318"/>
      <c r="C219" s="174" t="s">
        <v>213</v>
      </c>
    </row>
    <row r="220" spans="2:4">
      <c r="B220" s="1318"/>
      <c r="C220" s="174" t="s">
        <v>214</v>
      </c>
    </row>
    <row r="221" spans="2:4">
      <c r="B221" s="1318"/>
      <c r="C221" s="174" t="s">
        <v>215</v>
      </c>
    </row>
    <row r="222" spans="2:4">
      <c r="B222" s="1318"/>
      <c r="C222" s="174" t="s">
        <v>216</v>
      </c>
    </row>
    <row r="223" spans="2:4">
      <c r="B223" s="1318"/>
      <c r="C223" s="174" t="s">
        <v>217</v>
      </c>
    </row>
    <row r="224" spans="2:4">
      <c r="B224" s="1318"/>
      <c r="C224" s="174" t="s">
        <v>218</v>
      </c>
    </row>
    <row r="225" spans="2:3">
      <c r="B225" s="1318"/>
      <c r="C225" s="174" t="s">
        <v>219</v>
      </c>
    </row>
    <row r="226" spans="2:3">
      <c r="B226" s="1318"/>
      <c r="C226" s="174" t="s">
        <v>220</v>
      </c>
    </row>
    <row r="227" spans="2:3">
      <c r="B227" s="1318"/>
      <c r="C227" s="174" t="s">
        <v>221</v>
      </c>
    </row>
    <row r="228" spans="2:3">
      <c r="B228" s="1318"/>
      <c r="C228" s="174" t="s">
        <v>222</v>
      </c>
    </row>
    <row r="229" spans="2:3">
      <c r="B229" s="1318"/>
      <c r="C229" s="174" t="s">
        <v>223</v>
      </c>
    </row>
    <row r="230" spans="2:3">
      <c r="B230" s="1319"/>
      <c r="C230" s="175" t="s">
        <v>224</v>
      </c>
    </row>
    <row r="231" spans="2:3">
      <c r="C231" s="172"/>
    </row>
    <row r="232" spans="2:3">
      <c r="B232" s="156" t="s">
        <v>226</v>
      </c>
      <c r="C232" s="176" t="str">
        <f>CONCATENATE("FType02to",INDEX(NumToChar,'TS3500'!$F$5))</f>
        <v>FType02to02</v>
      </c>
    </row>
    <row r="234" spans="2:3">
      <c r="B234" s="156" t="s">
        <v>227</v>
      </c>
      <c r="C234" s="176" t="str">
        <f>CONCATENATE("DrNum02to",INDEX(NumToChar,'TS3500'!$F$5))</f>
        <v>DrNum02to02</v>
      </c>
    </row>
    <row r="236" spans="2:3">
      <c r="B236" s="1299" t="s">
        <v>243</v>
      </c>
      <c r="C236" s="10" t="s">
        <v>66</v>
      </c>
    </row>
    <row r="237" spans="2:3">
      <c r="B237" s="1299"/>
      <c r="C237" s="10" t="s">
        <v>203</v>
      </c>
    </row>
    <row r="238" spans="2:3">
      <c r="B238" s="1299"/>
      <c r="C238" s="10" t="s">
        <v>204</v>
      </c>
    </row>
    <row r="239" spans="2:3">
      <c r="B239" s="1299"/>
      <c r="C239" s="10" t="s">
        <v>242</v>
      </c>
    </row>
    <row r="241" spans="2:3">
      <c r="B241" s="1321" t="s">
        <v>339</v>
      </c>
      <c r="C241" s="211">
        <v>1</v>
      </c>
    </row>
    <row r="242" spans="2:3">
      <c r="B242" s="1322"/>
      <c r="C242" s="212">
        <v>2</v>
      </c>
    </row>
    <row r="243" spans="2:3">
      <c r="B243" s="1322"/>
      <c r="C243" s="212">
        <v>3</v>
      </c>
    </row>
    <row r="244" spans="2:3">
      <c r="B244" s="1322"/>
      <c r="C244" s="212">
        <v>4</v>
      </c>
    </row>
    <row r="245" spans="2:3">
      <c r="B245" s="1322"/>
      <c r="C245" s="212">
        <v>5</v>
      </c>
    </row>
    <row r="246" spans="2:3">
      <c r="B246" s="1322"/>
      <c r="C246" s="212">
        <v>6</v>
      </c>
    </row>
    <row r="247" spans="2:3">
      <c r="B247" s="1322"/>
      <c r="C247" s="212">
        <v>7</v>
      </c>
    </row>
    <row r="248" spans="2:3">
      <c r="B248" s="1322"/>
      <c r="C248" s="212">
        <v>8</v>
      </c>
    </row>
    <row r="249" spans="2:3">
      <c r="B249" s="1322"/>
      <c r="C249" s="212">
        <v>9</v>
      </c>
    </row>
    <row r="250" spans="2:3">
      <c r="B250" s="1322"/>
      <c r="C250" s="212">
        <v>10</v>
      </c>
    </row>
    <row r="251" spans="2:3">
      <c r="B251" s="1322"/>
      <c r="C251" s="212">
        <v>11</v>
      </c>
    </row>
    <row r="252" spans="2:3">
      <c r="B252" s="1322"/>
      <c r="C252" s="212">
        <v>12</v>
      </c>
    </row>
    <row r="253" spans="2:3">
      <c r="B253" s="1322"/>
      <c r="C253" s="212">
        <v>13</v>
      </c>
    </row>
    <row r="254" spans="2:3">
      <c r="B254" s="1322"/>
      <c r="C254" s="212">
        <v>14</v>
      </c>
    </row>
    <row r="255" spans="2:3">
      <c r="B255" s="1322"/>
      <c r="C255" s="212">
        <v>15</v>
      </c>
    </row>
    <row r="256" spans="2:3">
      <c r="B256" s="1322"/>
      <c r="C256" s="212">
        <v>16</v>
      </c>
    </row>
    <row r="257" spans="2:3">
      <c r="B257" s="1322"/>
      <c r="C257" s="212">
        <v>17</v>
      </c>
    </row>
    <row r="258" spans="2:3">
      <c r="B258" s="1323"/>
      <c r="C258" s="213">
        <v>18</v>
      </c>
    </row>
    <row r="260" spans="2:3">
      <c r="B260" s="1324" t="s">
        <v>340</v>
      </c>
      <c r="C260" s="217" t="s">
        <v>352</v>
      </c>
    </row>
    <row r="261" spans="2:3">
      <c r="B261" s="1325"/>
      <c r="C261" s="218" t="s">
        <v>341</v>
      </c>
    </row>
    <row r="263" spans="2:3">
      <c r="B263" s="219" t="s">
        <v>342</v>
      </c>
      <c r="C263" s="211" t="s">
        <v>359</v>
      </c>
    </row>
    <row r="264" spans="2:3">
      <c r="B264" s="220"/>
      <c r="C264" s="212" t="s">
        <v>345</v>
      </c>
    </row>
    <row r="265" spans="2:3">
      <c r="B265" s="220"/>
      <c r="C265" s="212" t="s">
        <v>360</v>
      </c>
    </row>
    <row r="266" spans="2:3">
      <c r="B266" s="221"/>
      <c r="C266" s="213" t="s">
        <v>346</v>
      </c>
    </row>
    <row r="268" spans="2:3">
      <c r="B268" s="1321" t="s">
        <v>361</v>
      </c>
      <c r="C268" s="211">
        <v>0</v>
      </c>
    </row>
    <row r="269" spans="2:3">
      <c r="B269" s="1322"/>
      <c r="C269" s="212">
        <v>1</v>
      </c>
    </row>
    <row r="270" spans="2:3">
      <c r="B270" s="1322"/>
      <c r="C270" s="212">
        <v>2</v>
      </c>
    </row>
    <row r="271" spans="2:3">
      <c r="B271" s="1322"/>
      <c r="C271" s="212">
        <v>3</v>
      </c>
    </row>
    <row r="272" spans="2:3">
      <c r="B272" s="1322"/>
      <c r="C272" s="212">
        <v>4</v>
      </c>
    </row>
    <row r="273" spans="2:3">
      <c r="B273" s="1322"/>
      <c r="C273" s="212">
        <v>5</v>
      </c>
    </row>
    <row r="274" spans="2:3">
      <c r="B274" s="1322"/>
      <c r="C274" s="212">
        <v>6</v>
      </c>
    </row>
    <row r="275" spans="2:3">
      <c r="B275" s="1322"/>
      <c r="C275" s="212">
        <v>7</v>
      </c>
    </row>
    <row r="276" spans="2:3">
      <c r="B276" s="1322"/>
      <c r="C276" s="212">
        <v>8</v>
      </c>
    </row>
    <row r="277" spans="2:3">
      <c r="B277" s="1322"/>
      <c r="C277" s="212">
        <v>9</v>
      </c>
    </row>
    <row r="278" spans="2:3">
      <c r="B278" s="1322"/>
      <c r="C278" s="212">
        <v>10</v>
      </c>
    </row>
    <row r="279" spans="2:3">
      <c r="B279" s="1322"/>
      <c r="C279" s="212">
        <v>11</v>
      </c>
    </row>
    <row r="280" spans="2:3">
      <c r="B280" s="1322"/>
      <c r="C280" s="212">
        <v>12</v>
      </c>
    </row>
    <row r="281" spans="2:3">
      <c r="B281" s="1322"/>
      <c r="C281" s="212">
        <v>13</v>
      </c>
    </row>
    <row r="282" spans="2:3">
      <c r="B282" s="1322"/>
      <c r="C282" s="212">
        <v>14</v>
      </c>
    </row>
    <row r="283" spans="2:3">
      <c r="B283" s="1322"/>
      <c r="C283" s="212">
        <v>15</v>
      </c>
    </row>
    <row r="284" spans="2:3">
      <c r="B284" s="1323"/>
      <c r="C284" s="213">
        <v>16</v>
      </c>
    </row>
    <row r="286" spans="2:3">
      <c r="B286" s="1314" t="s">
        <v>205</v>
      </c>
      <c r="C286" s="211" t="s">
        <v>365</v>
      </c>
    </row>
    <row r="287" spans="2:3">
      <c r="B287" s="1315"/>
      <c r="C287" s="212" t="s">
        <v>362</v>
      </c>
    </row>
    <row r="288" spans="2:3">
      <c r="B288" s="1315"/>
      <c r="C288" s="212" t="s">
        <v>366</v>
      </c>
    </row>
    <row r="289" spans="2:11">
      <c r="B289" s="1315"/>
      <c r="C289" s="212" t="s">
        <v>363</v>
      </c>
    </row>
    <row r="290" spans="2:11">
      <c r="B290" s="1315"/>
      <c r="C290" s="212" t="s">
        <v>367</v>
      </c>
    </row>
    <row r="291" spans="2:11">
      <c r="B291" s="1315"/>
      <c r="C291" s="212" t="s">
        <v>368</v>
      </c>
    </row>
    <row r="292" spans="2:11">
      <c r="B292" s="1315"/>
      <c r="C292" s="212" t="s">
        <v>369</v>
      </c>
    </row>
    <row r="293" spans="2:11">
      <c r="B293" s="1316"/>
      <c r="C293" s="213" t="s">
        <v>364</v>
      </c>
    </row>
    <row r="294" spans="2:11" ht="12.9" thickBot="1"/>
    <row r="295" spans="2:11">
      <c r="I295" s="1291" t="s">
        <v>648</v>
      </c>
      <c r="J295" s="158">
        <v>0</v>
      </c>
      <c r="K295" s="156" t="s">
        <v>157</v>
      </c>
    </row>
    <row r="296" spans="2:11">
      <c r="I296" s="1292"/>
      <c r="J296" s="162">
        <v>1</v>
      </c>
      <c r="K296" s="156" t="s">
        <v>158</v>
      </c>
    </row>
    <row r="297" spans="2:11">
      <c r="I297" s="1292"/>
      <c r="J297" s="162">
        <v>2</v>
      </c>
      <c r="K297" s="156" t="s">
        <v>159</v>
      </c>
    </row>
    <row r="298" spans="2:11">
      <c r="I298" s="1292"/>
      <c r="J298" s="162">
        <v>3</v>
      </c>
      <c r="K298" s="156" t="s">
        <v>160</v>
      </c>
    </row>
    <row r="299" spans="2:11">
      <c r="I299" s="1292"/>
      <c r="J299" s="162">
        <v>4</v>
      </c>
      <c r="K299" s="156" t="s">
        <v>161</v>
      </c>
    </row>
    <row r="300" spans="2:11">
      <c r="I300" s="1292"/>
      <c r="J300" s="162">
        <v>5</v>
      </c>
      <c r="K300" s="156" t="s">
        <v>553</v>
      </c>
    </row>
    <row r="301" spans="2:11">
      <c r="I301" s="1293"/>
      <c r="J301" s="162">
        <v>6</v>
      </c>
      <c r="K301" s="156" t="s">
        <v>554</v>
      </c>
    </row>
    <row r="302" spans="2:11">
      <c r="I302" s="1293"/>
      <c r="J302" s="162">
        <v>7</v>
      </c>
      <c r="K302" s="156" t="s">
        <v>637</v>
      </c>
    </row>
    <row r="303" spans="2:11">
      <c r="I303" s="1293"/>
      <c r="J303" s="162">
        <v>8</v>
      </c>
      <c r="K303" s="156" t="s">
        <v>639</v>
      </c>
    </row>
    <row r="304" spans="2:11">
      <c r="I304" s="1293"/>
      <c r="J304" s="162">
        <v>9</v>
      </c>
      <c r="K304" s="156" t="s">
        <v>640</v>
      </c>
    </row>
    <row r="305" spans="5:13">
      <c r="I305" s="1293"/>
      <c r="J305" s="162">
        <v>10</v>
      </c>
      <c r="K305" s="156" t="s">
        <v>641</v>
      </c>
    </row>
    <row r="306" spans="5:13">
      <c r="I306" s="1293"/>
      <c r="J306" s="162">
        <v>11</v>
      </c>
      <c r="K306" s="156" t="s">
        <v>642</v>
      </c>
    </row>
    <row r="307" spans="5:13">
      <c r="I307" s="1293"/>
      <c r="J307" s="162">
        <v>12</v>
      </c>
      <c r="K307" s="156" t="s">
        <v>643</v>
      </c>
    </row>
    <row r="308" spans="5:13">
      <c r="I308" s="1293"/>
      <c r="J308" s="162">
        <v>13</v>
      </c>
      <c r="K308" s="156" t="s">
        <v>644</v>
      </c>
    </row>
    <row r="309" spans="5:13">
      <c r="I309" s="1293"/>
      <c r="J309" s="162">
        <v>14</v>
      </c>
      <c r="K309" s="156" t="s">
        <v>645</v>
      </c>
    </row>
    <row r="310" spans="5:13" ht="12.9" thickBot="1">
      <c r="I310" s="1294"/>
      <c r="J310" s="164">
        <v>15</v>
      </c>
      <c r="K310" s="156" t="s">
        <v>638</v>
      </c>
    </row>
    <row r="312" spans="5:13">
      <c r="E312" s="1295" t="s">
        <v>555</v>
      </c>
      <c r="F312" s="1296"/>
      <c r="G312" s="1296"/>
      <c r="H312" s="1296"/>
      <c r="I312" s="1297"/>
      <c r="J312" s="10" t="str">
        <f>CONCATENATE("NUM0TO",TEXT('TS3100 3200 3310 3400 4300'!E55,"0"))</f>
        <v>NUM0TO0</v>
      </c>
    </row>
    <row r="313" spans="5:13" ht="12.9" thickBot="1"/>
    <row r="314" spans="5:13">
      <c r="E314" s="1295" t="s">
        <v>556</v>
      </c>
      <c r="F314" s="1296"/>
      <c r="G314" s="1296"/>
      <c r="H314" s="1296"/>
      <c r="I314" s="1297"/>
      <c r="J314" s="158" t="s">
        <v>588</v>
      </c>
    </row>
    <row r="315" spans="5:13">
      <c r="J315" s="162" t="s">
        <v>589</v>
      </c>
    </row>
    <row r="317" spans="5:13" ht="14.6">
      <c r="J317" s="545" t="s">
        <v>646</v>
      </c>
      <c r="M317" s="318">
        <f>IF('TS3100 3200 3310 3400 4300'!B39="TS4300 (3555-L3A/E3A) R1/R2",1,IF('TS3100 3200 3310 3400 4300'!B39="TS4300 (3555-L3A/E3A) &gt;R2.1 max. 21U",2,IF('TS3100 3200 3310 3400 4300'!B39="TS4300 (3555-L3A/E3A) R6.1 21U-48U",3,0)))</f>
        <v>3</v>
      </c>
    </row>
    <row r="318" spans="5:13" ht="14.6">
      <c r="J318" s="545" t="s">
        <v>649</v>
      </c>
      <c r="M318" s="546"/>
    </row>
    <row r="319" spans="5:13" ht="14.6">
      <c r="J319" s="545" t="s">
        <v>650</v>
      </c>
      <c r="M319" s="547"/>
    </row>
    <row r="322" spans="13:13">
      <c r="M322" s="153" t="str">
        <f>'TS3100 3200 3310 3400 4300'!B39</f>
        <v>TS4300 (3555-L3A/E3A) R6.1 21U-48U</v>
      </c>
    </row>
  </sheetData>
  <mergeCells count="41">
    <mergeCell ref="B286:B293"/>
    <mergeCell ref="B10:B24"/>
    <mergeCell ref="B158:B159"/>
    <mergeCell ref="B79:B81"/>
    <mergeCell ref="B135:B136"/>
    <mergeCell ref="B268:B284"/>
    <mergeCell ref="B118:B119"/>
    <mergeCell ref="B178:B190"/>
    <mergeCell ref="B215:B230"/>
    <mergeCell ref="B241:B258"/>
    <mergeCell ref="B260:B261"/>
    <mergeCell ref="B236:B239"/>
    <mergeCell ref="B161:B175"/>
    <mergeCell ref="B139:B153"/>
    <mergeCell ref="B85:B87"/>
    <mergeCell ref="B209:B213"/>
    <mergeCell ref="G2:G4"/>
    <mergeCell ref="F2:F3"/>
    <mergeCell ref="E3:E4"/>
    <mergeCell ref="H15:I16"/>
    <mergeCell ref="I2:I6"/>
    <mergeCell ref="E11:I11"/>
    <mergeCell ref="E9:G9"/>
    <mergeCell ref="E13:I13"/>
    <mergeCell ref="H8:I9"/>
    <mergeCell ref="I295:I310"/>
    <mergeCell ref="E312:I312"/>
    <mergeCell ref="E314:I314"/>
    <mergeCell ref="D3:D5"/>
    <mergeCell ref="B131:B132"/>
    <mergeCell ref="B73:B75"/>
    <mergeCell ref="B110:B111"/>
    <mergeCell ref="B192:B207"/>
    <mergeCell ref="B91:B92"/>
    <mergeCell ref="E21:I23"/>
    <mergeCell ref="E25:I32"/>
    <mergeCell ref="H18:I19"/>
    <mergeCell ref="B126:B127"/>
    <mergeCell ref="B67:B69"/>
    <mergeCell ref="B102:B103"/>
    <mergeCell ref="H2:H5"/>
  </mergeCells>
  <phoneticPr fontId="2" type="noConversion"/>
  <pageMargins left="0.75" right="0.75" top="1" bottom="1" header="0.5" footer="0.5"/>
  <headerFooter alignWithMargins="0"/>
  <ignoredErrors>
    <ignoredError sqref="C215:C230" numberStoredAsText="1"/>
  </ignoredError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83"/>
  <sheetViews>
    <sheetView topLeftCell="H1" workbookViewId="0">
      <selection activeCell="W3" sqref="W3"/>
    </sheetView>
  </sheetViews>
  <sheetFormatPr baseColWidth="10" defaultColWidth="8.84375" defaultRowHeight="12.45"/>
  <cols>
    <col min="1" max="1" width="16.69140625" customWidth="1"/>
    <col min="2" max="2" width="7.69140625" customWidth="1"/>
    <col min="3" max="3" width="15.07421875" customWidth="1"/>
    <col min="4" max="15" width="7.69140625" customWidth="1"/>
    <col min="16" max="16" width="13.3046875" customWidth="1"/>
    <col min="17" max="18" width="9.4609375" customWidth="1"/>
    <col min="19" max="20" width="7.69140625" customWidth="1"/>
    <col min="21" max="21" width="9.4609375" customWidth="1"/>
    <col min="25" max="25" width="11.07421875" customWidth="1"/>
    <col min="26" max="26" width="10.84375" customWidth="1"/>
  </cols>
  <sheetData>
    <row r="1" spans="2:30" ht="13.3" thickBot="1">
      <c r="W1" s="353" t="s">
        <v>534</v>
      </c>
      <c r="AD1" s="354" t="s">
        <v>533</v>
      </c>
    </row>
    <row r="2" spans="2:30" ht="13.3" thickTop="1" thickBot="1">
      <c r="B2" s="256" t="s">
        <v>402</v>
      </c>
      <c r="C2" s="257"/>
      <c r="D2" s="257"/>
      <c r="E2" s="1260" t="s">
        <v>198</v>
      </c>
      <c r="F2" s="1261"/>
      <c r="G2" s="1261"/>
      <c r="H2" s="1261"/>
      <c r="I2" s="1261"/>
      <c r="J2" s="1261"/>
      <c r="K2" s="1262"/>
      <c r="L2" s="1263" t="s">
        <v>473</v>
      </c>
      <c r="M2" s="1264"/>
      <c r="N2" s="1264"/>
      <c r="O2" s="1264"/>
      <c r="P2" s="1265"/>
      <c r="Q2" s="1257" t="s">
        <v>474</v>
      </c>
      <c r="R2" s="1343"/>
      <c r="S2" s="1258"/>
      <c r="T2" s="1258"/>
      <c r="U2" s="1259"/>
      <c r="W2" s="352" t="s">
        <v>613</v>
      </c>
    </row>
    <row r="3" spans="2:30" ht="12.9" thickBot="1">
      <c r="B3" s="126"/>
      <c r="C3" s="17"/>
      <c r="D3" s="17"/>
      <c r="E3" s="1281" t="s">
        <v>12</v>
      </c>
      <c r="F3" s="1237"/>
      <c r="G3" s="1282" t="s">
        <v>14</v>
      </c>
      <c r="H3" s="1283"/>
      <c r="I3" s="1283"/>
      <c r="J3" s="1283"/>
      <c r="K3" s="1284"/>
      <c r="L3" s="1281" t="s">
        <v>12</v>
      </c>
      <c r="M3" s="1237"/>
      <c r="N3" s="1282" t="s">
        <v>14</v>
      </c>
      <c r="O3" s="1283"/>
      <c r="P3" s="1358"/>
      <c r="Q3" s="1279" t="s">
        <v>202</v>
      </c>
      <c r="R3" s="1361" t="s">
        <v>12</v>
      </c>
      <c r="S3" s="1326"/>
      <c r="T3" s="1348" t="s">
        <v>14</v>
      </c>
      <c r="U3" s="1349"/>
      <c r="W3" s="352" t="s">
        <v>546</v>
      </c>
    </row>
    <row r="4" spans="2:30" ht="12.9" thickBot="1">
      <c r="B4" s="1203" t="s">
        <v>21</v>
      </c>
      <c r="C4" s="1204"/>
      <c r="D4" s="1362" t="s">
        <v>52</v>
      </c>
      <c r="E4" s="1212" t="s">
        <v>346</v>
      </c>
      <c r="F4" s="1204"/>
      <c r="G4" s="1365" t="s">
        <v>0</v>
      </c>
      <c r="H4" s="1366"/>
      <c r="I4" s="1367"/>
      <c r="J4" s="1204" t="s">
        <v>345</v>
      </c>
      <c r="K4" s="1285"/>
      <c r="L4" s="1272" t="s">
        <v>451</v>
      </c>
      <c r="M4" s="1269" t="s">
        <v>452</v>
      </c>
      <c r="N4" s="1344" t="s">
        <v>453</v>
      </c>
      <c r="O4" s="1344" t="s">
        <v>454</v>
      </c>
      <c r="P4" s="1359"/>
      <c r="Q4" s="1279"/>
      <c r="R4" s="1346" t="s">
        <v>447</v>
      </c>
      <c r="S4" s="1346" t="s">
        <v>448</v>
      </c>
      <c r="T4" s="1267" t="s">
        <v>449</v>
      </c>
      <c r="U4" s="1267" t="s">
        <v>450</v>
      </c>
      <c r="W4" s="352" t="s">
        <v>614</v>
      </c>
    </row>
    <row r="5" spans="2:30" ht="12.75" customHeight="1" thickBot="1">
      <c r="B5" s="1205"/>
      <c r="C5" s="1206"/>
      <c r="D5" s="1363"/>
      <c r="E5" s="1213"/>
      <c r="F5" s="1206"/>
      <c r="G5" s="288" t="s">
        <v>16</v>
      </c>
      <c r="H5" s="1347" t="s">
        <v>17</v>
      </c>
      <c r="I5" s="1347"/>
      <c r="J5" s="1206"/>
      <c r="K5" s="1286"/>
      <c r="L5" s="1273"/>
      <c r="M5" s="1270"/>
      <c r="N5" s="1345"/>
      <c r="O5" s="1345"/>
      <c r="P5" s="1359"/>
      <c r="Q5" s="1279"/>
      <c r="R5" s="1244"/>
      <c r="S5" s="1244"/>
      <c r="T5" s="1267"/>
      <c r="U5" s="1267"/>
      <c r="W5" s="1327" t="s">
        <v>496</v>
      </c>
      <c r="X5" s="1328"/>
      <c r="Y5" s="1328"/>
      <c r="Z5" s="1329"/>
    </row>
    <row r="6" spans="2:30" ht="37.75" thickBot="1">
      <c r="B6" s="1207"/>
      <c r="C6" s="1208"/>
      <c r="D6" s="1364"/>
      <c r="E6" s="32" t="s">
        <v>445</v>
      </c>
      <c r="F6" s="103" t="s">
        <v>446</v>
      </c>
      <c r="G6" s="289"/>
      <c r="H6" s="290" t="s">
        <v>20</v>
      </c>
      <c r="I6" s="290" t="s">
        <v>26</v>
      </c>
      <c r="J6" s="32" t="s">
        <v>445</v>
      </c>
      <c r="K6" s="103" t="s">
        <v>446</v>
      </c>
      <c r="L6" s="1273"/>
      <c r="M6" s="1270"/>
      <c r="N6" s="1345"/>
      <c r="O6" s="1345"/>
      <c r="P6" s="1360"/>
      <c r="Q6" s="1280"/>
      <c r="R6" s="1245"/>
      <c r="S6" s="1245"/>
      <c r="T6" s="1268"/>
      <c r="U6" s="1268"/>
      <c r="W6" s="1331" t="s">
        <v>497</v>
      </c>
      <c r="X6" s="1332"/>
      <c r="Y6" s="334" t="s">
        <v>502</v>
      </c>
      <c r="Z6" s="334" t="s">
        <v>503</v>
      </c>
    </row>
    <row r="7" spans="2:30">
      <c r="B7" s="1354" t="s">
        <v>2</v>
      </c>
      <c r="C7" s="1355"/>
      <c r="D7" s="279" t="s">
        <v>6</v>
      </c>
      <c r="E7" s="31">
        <v>100</v>
      </c>
      <c r="F7" s="34"/>
      <c r="G7" s="291"/>
      <c r="H7" s="292"/>
      <c r="I7" s="292"/>
      <c r="J7" s="24">
        <v>100</v>
      </c>
      <c r="K7" s="116"/>
      <c r="L7" s="260"/>
      <c r="M7" s="277"/>
      <c r="N7" s="277"/>
      <c r="O7" s="277"/>
      <c r="P7" s="1368"/>
      <c r="Q7" s="1370"/>
      <c r="R7" s="266"/>
      <c r="S7" s="261"/>
      <c r="T7" s="266"/>
      <c r="U7" s="265"/>
      <c r="W7" s="1333" t="s">
        <v>346</v>
      </c>
      <c r="X7" s="1334"/>
      <c r="Y7" s="337" t="s">
        <v>504</v>
      </c>
      <c r="Z7" s="338">
        <v>-444</v>
      </c>
    </row>
    <row r="8" spans="2:30">
      <c r="B8" s="1356" t="s">
        <v>3</v>
      </c>
      <c r="C8" s="1357"/>
      <c r="D8" s="280" t="s">
        <v>6</v>
      </c>
      <c r="E8" s="36">
        <v>200</v>
      </c>
      <c r="F8" s="245"/>
      <c r="G8" s="293"/>
      <c r="H8" s="294"/>
      <c r="I8" s="294"/>
      <c r="J8" s="43">
        <v>200</v>
      </c>
      <c r="K8" s="118"/>
      <c r="L8" s="262"/>
      <c r="M8" s="278"/>
      <c r="N8" s="278"/>
      <c r="O8" s="278"/>
      <c r="P8" s="1369"/>
      <c r="Q8" s="1371"/>
      <c r="R8" s="267"/>
      <c r="S8" s="258"/>
      <c r="T8" s="267"/>
      <c r="U8" s="259"/>
      <c r="W8" s="1335" t="s">
        <v>498</v>
      </c>
      <c r="X8" s="1336"/>
      <c r="Y8" s="339">
        <v>-444</v>
      </c>
      <c r="Z8" s="340">
        <v>-444</v>
      </c>
    </row>
    <row r="9" spans="2:30">
      <c r="B9" s="1350" t="s">
        <v>201</v>
      </c>
      <c r="C9" s="1351"/>
      <c r="D9" s="281">
        <v>0</v>
      </c>
      <c r="E9" s="37">
        <v>400</v>
      </c>
      <c r="F9" s="38">
        <v>400</v>
      </c>
      <c r="G9" s="285">
        <v>141</v>
      </c>
      <c r="H9" s="286">
        <v>281</v>
      </c>
      <c r="I9" s="286">
        <v>229</v>
      </c>
      <c r="J9" s="38">
        <v>400</v>
      </c>
      <c r="K9" s="273">
        <v>400</v>
      </c>
      <c r="L9" s="263">
        <v>500</v>
      </c>
      <c r="M9" s="38">
        <v>500</v>
      </c>
      <c r="N9" s="38">
        <v>500</v>
      </c>
      <c r="O9" s="38">
        <v>500</v>
      </c>
      <c r="P9" s="264" t="s">
        <v>201</v>
      </c>
      <c r="Q9" s="246" t="s">
        <v>201</v>
      </c>
      <c r="R9" s="268">
        <v>600</v>
      </c>
      <c r="S9" s="49">
        <v>600</v>
      </c>
      <c r="T9" s="272">
        <v>660</v>
      </c>
      <c r="U9" s="270">
        <v>660</v>
      </c>
      <c r="W9" s="1335" t="s">
        <v>499</v>
      </c>
      <c r="X9" s="1336"/>
      <c r="Y9" s="339" t="s">
        <v>504</v>
      </c>
      <c r="Z9" s="340">
        <v>-444</v>
      </c>
    </row>
    <row r="10" spans="2:30">
      <c r="B10" s="1352" t="s">
        <v>372</v>
      </c>
      <c r="C10" s="1353"/>
      <c r="D10" s="281" t="s">
        <v>9</v>
      </c>
      <c r="E10" s="37">
        <f>E9+150</f>
        <v>550</v>
      </c>
      <c r="F10" s="106">
        <f>E9+260</f>
        <v>660</v>
      </c>
      <c r="G10" s="285">
        <v>141</v>
      </c>
      <c r="H10" s="286">
        <v>281</v>
      </c>
      <c r="I10" s="286">
        <v>229</v>
      </c>
      <c r="J10" s="38">
        <f>J9+330</f>
        <v>730</v>
      </c>
      <c r="K10" s="130">
        <f>J9+482</f>
        <v>882</v>
      </c>
      <c r="L10" s="38">
        <f>L9+90</f>
        <v>590</v>
      </c>
      <c r="M10" s="38">
        <f>M9+240</f>
        <v>740</v>
      </c>
      <c r="N10" s="38">
        <f>N9+274</f>
        <v>774</v>
      </c>
      <c r="O10" s="38">
        <f>O9+470</f>
        <v>970</v>
      </c>
      <c r="P10" s="264" t="s">
        <v>456</v>
      </c>
      <c r="Q10" s="246" t="s">
        <v>372</v>
      </c>
      <c r="R10" s="268">
        <f>R9+198</f>
        <v>798</v>
      </c>
      <c r="S10" s="49">
        <f>S9+400</f>
        <v>1000</v>
      </c>
      <c r="T10" s="272">
        <f>T9+394</f>
        <v>1054</v>
      </c>
      <c r="U10" s="270">
        <f>U9+660</f>
        <v>1320</v>
      </c>
      <c r="W10" s="1335" t="s">
        <v>364</v>
      </c>
      <c r="X10" s="1336"/>
      <c r="Y10" s="339">
        <v>-600</v>
      </c>
      <c r="Z10" s="340">
        <v>-600</v>
      </c>
      <c r="AB10" s="352"/>
    </row>
    <row r="11" spans="2:30" ht="12.9" thickBot="1">
      <c r="B11" s="282"/>
      <c r="C11" s="283"/>
      <c r="D11" s="281" t="s">
        <v>7</v>
      </c>
      <c r="E11" s="284">
        <v>248</v>
      </c>
      <c r="F11" s="285">
        <v>210</v>
      </c>
      <c r="G11" s="285">
        <v>113</v>
      </c>
      <c r="H11" s="286">
        <v>253</v>
      </c>
      <c r="I11" s="286">
        <v>201</v>
      </c>
      <c r="J11" s="286">
        <v>273</v>
      </c>
      <c r="K11" s="287">
        <v>231</v>
      </c>
      <c r="L11" s="274">
        <f>L9+50</f>
        <v>550</v>
      </c>
      <c r="M11" s="55">
        <f>M9+160</f>
        <v>660</v>
      </c>
      <c r="N11" s="55">
        <f>N9+230</f>
        <v>730</v>
      </c>
      <c r="O11" s="275">
        <f>O9+382</f>
        <v>882</v>
      </c>
      <c r="P11" s="276" t="s">
        <v>455</v>
      </c>
      <c r="Q11" s="1372"/>
      <c r="R11" s="269"/>
      <c r="S11" s="249"/>
      <c r="T11" s="269"/>
      <c r="U11" s="271"/>
      <c r="W11" s="1335" t="s">
        <v>345</v>
      </c>
      <c r="X11" s="1336"/>
      <c r="Y11" s="339" t="s">
        <v>504</v>
      </c>
      <c r="Z11" s="340">
        <v>-582</v>
      </c>
    </row>
    <row r="12" spans="2:30" ht="12.9" thickBot="1">
      <c r="B12" s="282"/>
      <c r="C12" s="283"/>
      <c r="D12" s="305" t="s">
        <v>8</v>
      </c>
      <c r="E12" s="306">
        <v>237</v>
      </c>
      <c r="F12" s="307">
        <v>199</v>
      </c>
      <c r="G12" s="307">
        <v>87</v>
      </c>
      <c r="H12" s="308">
        <v>227</v>
      </c>
      <c r="I12" s="308">
        <v>175</v>
      </c>
      <c r="J12" s="308">
        <v>261</v>
      </c>
      <c r="K12" s="309">
        <v>219</v>
      </c>
      <c r="L12" s="310">
        <f>L11-L10</f>
        <v>-40</v>
      </c>
      <c r="M12" s="310">
        <f>M11-M10</f>
        <v>-80</v>
      </c>
      <c r="N12" s="310">
        <f>N11-N10</f>
        <v>-44</v>
      </c>
      <c r="O12" s="310">
        <f>O11-O10</f>
        <v>-88</v>
      </c>
      <c r="P12" s="311" t="s">
        <v>459</v>
      </c>
      <c r="Q12" s="1223"/>
      <c r="R12" s="269"/>
      <c r="S12" s="249"/>
      <c r="T12" s="269"/>
      <c r="U12" s="271"/>
      <c r="W12" s="1335" t="s">
        <v>500</v>
      </c>
      <c r="X12" s="1336"/>
      <c r="Y12" s="339">
        <v>-582</v>
      </c>
      <c r="Z12" s="340">
        <v>-582</v>
      </c>
    </row>
    <row r="13" spans="2:30">
      <c r="B13" s="1339" t="s">
        <v>484</v>
      </c>
      <c r="C13" s="1340"/>
      <c r="D13" s="316"/>
      <c r="E13" s="116"/>
      <c r="F13" s="312">
        <v>444</v>
      </c>
      <c r="G13" s="316"/>
      <c r="H13" s="316"/>
      <c r="I13" s="316"/>
      <c r="J13" s="116"/>
      <c r="K13" s="312">
        <v>582</v>
      </c>
      <c r="L13" s="312"/>
      <c r="M13" s="312"/>
      <c r="N13" s="312"/>
      <c r="O13" s="312"/>
      <c r="P13" s="316"/>
      <c r="Q13" s="316"/>
      <c r="R13" s="312"/>
      <c r="S13" s="312"/>
      <c r="T13" s="312"/>
      <c r="U13" s="313"/>
      <c r="W13" s="1335" t="s">
        <v>501</v>
      </c>
      <c r="X13" s="1336"/>
      <c r="Y13" s="339" t="s">
        <v>504</v>
      </c>
      <c r="Z13" s="340">
        <v>-582</v>
      </c>
    </row>
    <row r="14" spans="2:30" ht="12.9" thickBot="1">
      <c r="B14" s="1341" t="s">
        <v>483</v>
      </c>
      <c r="C14" s="1342"/>
      <c r="D14" s="317"/>
      <c r="E14" s="314"/>
      <c r="F14" s="314"/>
      <c r="G14" s="317"/>
      <c r="H14" s="317"/>
      <c r="I14" s="317"/>
      <c r="J14" s="314"/>
      <c r="K14" s="314"/>
      <c r="L14" s="314"/>
      <c r="M14" s="314"/>
      <c r="N14" s="314"/>
      <c r="O14" s="314"/>
      <c r="P14" s="317"/>
      <c r="Q14" s="317"/>
      <c r="R14" s="314"/>
      <c r="S14" s="314"/>
      <c r="T14" s="314"/>
      <c r="U14" s="315"/>
      <c r="W14" s="1337" t="s">
        <v>368</v>
      </c>
      <c r="X14" s="1338"/>
      <c r="Y14" s="341">
        <v>-792</v>
      </c>
      <c r="Z14" s="342">
        <v>-792</v>
      </c>
    </row>
    <row r="15" spans="2:30">
      <c r="B15" t="s">
        <v>457</v>
      </c>
      <c r="C15" s="3"/>
      <c r="D15" s="9">
        <f>IF('TS4500'!F10=Names4500!C54,1,IF('TS4500'!F10=Names4500!C55,2,IF('TS4500'!F10=Names4500!C56,3,IF('TS4500'!F10=Names4500!C57,4,0))))</f>
        <v>4</v>
      </c>
      <c r="E15" t="s">
        <v>439</v>
      </c>
      <c r="G15" s="2"/>
    </row>
    <row r="16" spans="2:30">
      <c r="B16" t="s">
        <v>458</v>
      </c>
      <c r="C16" s="3"/>
      <c r="D16" s="10">
        <f>IF('TS4500'!$F$7="L25",1,IF('TS4500'!$F$7="L55",6,0))</f>
        <v>0</v>
      </c>
      <c r="E16" t="s">
        <v>440</v>
      </c>
      <c r="W16" s="943" t="s">
        <v>505</v>
      </c>
      <c r="X16" s="943"/>
      <c r="Y16" s="335" t="str">
        <f>F4500Type02to01</f>
        <v>D25</v>
      </c>
      <c r="Z16" s="335" t="str">
        <f>IF('TS4500'!$F$5=1,'TS4500'!$F$7,IF('TS4500'!$F$5=2,'TS4500'!$J$7,IF('TS4500'!$F$5=3,'TS4500'!$K$7,IF('TS4500'!$F$5=4,'TS4500'!$L$7,IF('TS4500'!$F$5=5,'TS4500'!$M$7,IF('TS4500'!$F$5=6,'TS4500'!$N$7,IF('TS4500'!$F$5=7,'TS4500'!$O$7,IF('TS4500'!$F$5=8,'TS4500'!$P$7,IF('TS4500'!$F$5=9,'TS4500'!$Q$7,IF('TS4500'!$F$5=10,'TS4500'!$R$7,IF('TS4500'!$F$5=11,'TS4500'!$S$7,IF('TS4500'!$F$5=12,'TS4500'!$T$7,IF('TS4500'!$F$5=13,'TS4500'!$U$7,IF('TS4500'!$F$5=14,'TS4500'!$V$7,IF('TS4500'!$F$5=15,'TS4500'!$W$7,IF('TS4500'!$F$5=16,'TS4500'!$X$7,IF('TS4500'!$F$5=17,'TS4500'!$Y$7,IF('TS4500'!$F$5=18,'TS4500'!$Z$7," "))))))))))))))))))</f>
        <v>D25</v>
      </c>
    </row>
    <row r="17" spans="1:27">
      <c r="C17" s="3"/>
      <c r="D17" s="10">
        <f>IF(OR('TS4500'!$F$7="L22",'TS4500'!$F$7="L25"),1, IF('TS4500'!$F$7="L32",3,6))+IF(OR('TS4500'!$F$11=Names4500!C91,'TS4500'!$F$11=Names4500!C106), 0, IF(OR('TS4500'!$F$11=Names4500!C92, 'TS4500'!$F$11=Names4500!C107, 'TS4500'!$F$11=TSL55HDIOMixed, 'TS4500'!$F$11=TSL25HDIOMixed),1,IF('TS4500'!$F$10=Names4500!$C$80,0,IF('TS4500'!$F$11=Names4500!$C$117,1,2))))</f>
        <v>8</v>
      </c>
      <c r="W17" s="1326" t="s">
        <v>506</v>
      </c>
      <c r="X17" s="1326"/>
      <c r="Y17" s="1" t="str">
        <f>IF('TS4500'!$F$11="","no","yes")</f>
        <v>no</v>
      </c>
      <c r="Z17" s="1" t="str">
        <f>IF(AA17="","no","yes")</f>
        <v>no</v>
      </c>
      <c r="AA17" s="336" t="str">
        <f>IF('TS4500'!$F$5=1,'TS4500'!$F$11,IF('TS4500'!$F$5=2,'TS4500'!$J$11,IF('TS4500'!$F$5=3,'TS4500'!$K$11,IF('TS4500'!$F$5=4,'TS4500'!$L$11,IF('TS4500'!$F$5=5,'TS4500'!$M$11,IF('TS4500'!$F$5=6,'TS4500'!$N$11,IF('TS4500'!$F$5=7,'TS4500'!$O$11,IF('TS4500'!$F$5=8,'TS4500'!$P$11,IF('TS4500'!$F$5=9,'TS4500'!$Q$11,IF('TS4500'!$F$5=10,'TS4500'!$R$11,IF('TS4500'!$F$5=11,'TS4500'!$S$11,IF('TS4500'!$F$5=12,'TS4500'!$T$11,IF('TS4500'!$F$5=13,'TS4500'!$U$11,IF('TS4500'!$F$5=14,'TS4500'!$V$11,IF('TS4500'!$F$5=15,'TS4500'!$W$11,IF('TS4500'!$F$5=16,'TS4500'!$X$11,IF('TS4500'!$F$5=17,'TS4500'!$Y$11,IF('TS4500'!$F$5=18,'TS4500'!$Z$11," "))))))))))))))))))</f>
        <v/>
      </c>
    </row>
    <row r="18" spans="1:27">
      <c r="A18" s="11" t="s">
        <v>244</v>
      </c>
      <c r="C18" s="3"/>
      <c r="D18" s="62">
        <f ca="1">IF(OR('TS4500'!$F$7="L32", 'TS4500'!$F$7="L52", 'TS4500'!$F$7="L22"),1,0) + COUNTIF(INDIRECT(F4500Type02to),"=D32") + COUNTIF(INDIRECT(F4500Type02to),"=D52") + COUNTIF(INDIRECT(F4500Type02to),"=D22")</f>
        <v>0</v>
      </c>
      <c r="W18" s="1330" t="s">
        <v>509</v>
      </c>
      <c r="X18" s="1330"/>
      <c r="Y18" s="346">
        <f>IF(Y16="D25",Y8,IF(Y16="S25",Y10,IF(Y16="D55",Y12,IF(Y16="S55",Y14,0))))</f>
        <v>-444</v>
      </c>
      <c r="Z18" s="346">
        <f>IF(Z16="D25",Z8,IF(Z16="S25",Z10,IF(Z16="D55",Z12,IF(Z16="S55",Z14,IF(Z16="L25",Z7,IF(Z16="L55",Z11,0))))))</f>
        <v>-444</v>
      </c>
    </row>
    <row r="19" spans="1:27">
      <c r="C19" s="4"/>
      <c r="D19" s="4"/>
      <c r="F19" t="s">
        <v>462</v>
      </c>
      <c r="I19">
        <f ca="1">'TS4500'!H4</f>
        <v>3</v>
      </c>
      <c r="K19" s="295" t="s">
        <v>463</v>
      </c>
      <c r="L19" s="295"/>
      <c r="M19" s="296"/>
      <c r="N19" s="297">
        <v>7</v>
      </c>
      <c r="W19" s="1326" t="s">
        <v>507</v>
      </c>
      <c r="X19" s="1326"/>
      <c r="Y19">
        <f>IF(Y16="D55",Y12,IF(Y16="S55",Y14,0))</f>
        <v>0</v>
      </c>
      <c r="Z19">
        <f>IF(Z16="D55",Z12,IF(Z16="S55",Z14,IF(Z16="L55",Z11,0)))</f>
        <v>0</v>
      </c>
    </row>
    <row r="20" spans="1:27">
      <c r="A20" s="295" t="s">
        <v>403</v>
      </c>
      <c r="B20" s="295"/>
      <c r="C20" s="296"/>
      <c r="D20" s="297">
        <v>7</v>
      </c>
      <c r="F20" t="s">
        <v>442</v>
      </c>
      <c r="I20">
        <f ca="1">'TS4500'!H2</f>
        <v>1</v>
      </c>
      <c r="W20" s="1326" t="s">
        <v>508</v>
      </c>
      <c r="X20" s="1326"/>
      <c r="Y20">
        <f>IF(Y16="D25",Y8,IF(Y16="S25",Y10,0))</f>
        <v>-444</v>
      </c>
      <c r="Z20">
        <f>IF(Z16="D25",Z8,IF(Z16="S25",Z10,IF(Z16="L25",Z7,0)))</f>
        <v>-444</v>
      </c>
    </row>
    <row r="21" spans="1:27">
      <c r="A21" t="s">
        <v>441</v>
      </c>
      <c r="C21" s="4"/>
      <c r="D21" s="62">
        <f>SUM(C24:T24)</f>
        <v>0</v>
      </c>
      <c r="F21" t="s">
        <v>443</v>
      </c>
      <c r="I21">
        <f ca="1">'TS4500'!H3</f>
        <v>1</v>
      </c>
    </row>
    <row r="22" spans="1:27">
      <c r="A22" t="s">
        <v>413</v>
      </c>
      <c r="C22" s="137">
        <v>1</v>
      </c>
      <c r="D22" s="137">
        <v>2</v>
      </c>
      <c r="E22" s="137">
        <f t="shared" ref="E22:M22" si="0">D22+1</f>
        <v>3</v>
      </c>
      <c r="F22" s="137">
        <f t="shared" si="0"/>
        <v>4</v>
      </c>
      <c r="G22" s="137">
        <f t="shared" si="0"/>
        <v>5</v>
      </c>
      <c r="H22" s="137">
        <f t="shared" si="0"/>
        <v>6</v>
      </c>
      <c r="I22" s="137">
        <f t="shared" si="0"/>
        <v>7</v>
      </c>
      <c r="J22" s="137">
        <f t="shared" si="0"/>
        <v>8</v>
      </c>
      <c r="K22" s="137">
        <f t="shared" si="0"/>
        <v>9</v>
      </c>
      <c r="L22" s="137">
        <f t="shared" si="0"/>
        <v>10</v>
      </c>
      <c r="M22" s="137">
        <f t="shared" si="0"/>
        <v>11</v>
      </c>
      <c r="N22" s="137">
        <f t="shared" ref="N22:T22" si="1">M22+1</f>
        <v>12</v>
      </c>
      <c r="O22" s="137">
        <f t="shared" si="1"/>
        <v>13</v>
      </c>
      <c r="P22" s="137">
        <f t="shared" si="1"/>
        <v>14</v>
      </c>
      <c r="Q22" s="137">
        <f t="shared" si="1"/>
        <v>15</v>
      </c>
      <c r="R22" s="137">
        <f t="shared" si="1"/>
        <v>16</v>
      </c>
      <c r="S22" s="137">
        <f t="shared" si="1"/>
        <v>17</v>
      </c>
      <c r="T22" s="137">
        <f t="shared" si="1"/>
        <v>18</v>
      </c>
      <c r="W22" t="s">
        <v>532</v>
      </c>
      <c r="Y22" s="351">
        <f>(U34+U35)/U38*100</f>
        <v>32.527472527472526</v>
      </c>
    </row>
    <row r="23" spans="1:27">
      <c r="A23" t="s">
        <v>122</v>
      </c>
      <c r="C23" s="191">
        <f>IF('TS4500'!F$6&lt;='TS4500'!$F$5,IF(OR('TS4500'!$F$7="D55",'TS4500'!$F$7="D25"),1,0))</f>
        <v>1</v>
      </c>
      <c r="D23" s="191">
        <f>IF('TS4500'!J$6&lt;='TS4500'!$F$5,IF(OR('TS4500'!$J$7="D55",'TS4500'!$J$7="D25"),1,0))</f>
        <v>0</v>
      </c>
      <c r="E23" s="191">
        <f>IF('TS4500'!K$6&lt;='TS4500'!$F$5,IF(OR('TS4500'!$K$7="D55",'TS4500'!$K$7="D25"),1,0))</f>
        <v>1</v>
      </c>
      <c r="F23" s="191">
        <f>IF('TS4500'!L$6&lt;='TS4500'!$F$5,IF(OR('TS4500'!$L$7="D55",'TS4500'!$L$7="D25"),1,0))</f>
        <v>1</v>
      </c>
      <c r="G23" s="191" t="b">
        <f>IF('TS4500'!M$6&lt;='TS4500'!$F$5,IF(OR('TS4500'!$M$7="D55",'TS4500'!$M$7="D25"),1,0))</f>
        <v>0</v>
      </c>
      <c r="H23" s="191" t="b">
        <f>IF('TS4500'!N$6&lt;='TS4500'!$F$5,IF(OR('TS4500'!$N$7="D55",'TS4500'!$N$7="D25"),1,0))</f>
        <v>0</v>
      </c>
      <c r="I23" s="191" t="b">
        <f>IF('TS4500'!O$6&lt;='TS4500'!$F$5,IF(OR('TS4500'!$O$7="D55",'TS4500'!$O$7="D25"),1,0))</f>
        <v>0</v>
      </c>
      <c r="J23" s="191" t="b">
        <f>IF('TS4500'!P$6&lt;='TS4500'!$F$5,IF(OR('TS4500'!$P$7="D55",'TS4500'!$P$7="D25"),1,0))</f>
        <v>0</v>
      </c>
      <c r="K23" s="191" t="b">
        <f>IF('TS4500'!Q$6&lt;='TS4500'!$F$5,IF(OR('TS4500'!$Q$7="D55",'TS4500'!$Q$7="D25"),1,0))</f>
        <v>0</v>
      </c>
      <c r="L23" s="191" t="b">
        <f>IF('TS4500'!R$6&lt;='TS4500'!$F$5,IF(OR('TS4500'!$R$7="D55",'TS4500'!$R$7="D25"),1,0))</f>
        <v>0</v>
      </c>
      <c r="M23" s="191" t="b">
        <f>IF('TS4500'!S$6&lt;='TS4500'!$F$5,IF(OR('TS4500'!$S$7="D55",'TS4500'!$S$7="D25"),1,0))</f>
        <v>0</v>
      </c>
      <c r="N23" s="191" t="b">
        <f>IF('TS4500'!T$6&lt;='TS4500'!$F$5,IF(OR('TS4500'!$T$7="D55",'TS4500'!$T$7="D25"),1,0))</f>
        <v>0</v>
      </c>
      <c r="O23" s="191" t="b">
        <f>IF('TS4500'!U$6&lt;='TS4500'!$F$5,IF(OR('TS4500'!$U$7="D55",'TS4500'!$U$7="D25"),1,0))</f>
        <v>0</v>
      </c>
      <c r="P23" s="191" t="b">
        <f>IF('TS4500'!V$6&lt;='TS4500'!$F$5,IF(OR('TS4500'!$V$7="D55",'TS4500'!$V$7="D25"),1,0))</f>
        <v>0</v>
      </c>
      <c r="Q23" s="191" t="b">
        <f>IF('TS4500'!W$6&lt;='TS4500'!$F$5,IF(OR('TS4500'!$W$7="D55",'TS4500'!$W$7="D25"),1,0))</f>
        <v>0</v>
      </c>
      <c r="R23" s="191" t="b">
        <f>IF('TS4500'!X$6&lt;='TS4500'!$F$5,IF(OR('TS4500'!$X$7="D55",'TS4500'!$X$7="D25"),1,0))</f>
        <v>0</v>
      </c>
      <c r="S23" s="191" t="b">
        <f>IF('TS4500'!Y$6&lt;='TS4500'!$F$5,IF(OR('TS4500'!$Y$7="D55",'TS4500'!$Y$7="D25"),1,0))</f>
        <v>0</v>
      </c>
      <c r="T23" s="191" t="b">
        <f>IF('TS4500'!Z$6&lt;='TS4500'!$F$5,IF(OR('TS4500'!$Z$7="D55",'TS4500'!$Z$7="D25"),1,0))</f>
        <v>0</v>
      </c>
      <c r="Y23" s="351">
        <f>ROUND(Y22,0)</f>
        <v>33</v>
      </c>
    </row>
    <row r="24" spans="1:27">
      <c r="A24" t="s">
        <v>124</v>
      </c>
      <c r="C24" s="62">
        <f>IF(AND(C$23=1,'TS4500'!F$11=Names4500!$C$144),1,0)</f>
        <v>0</v>
      </c>
      <c r="D24" s="62">
        <f>IF(AND(D$23=1,'TS4500'!J$11=Names4500!$C$144),1,0)</f>
        <v>0</v>
      </c>
      <c r="E24" s="62">
        <f>IF(AND(E$23=1,'TS4500'!K$11=Names4500!$C$144),1,0)</f>
        <v>0</v>
      </c>
      <c r="F24" s="62">
        <f>IF(AND(F$23=1,'TS4500'!L$11=Names4500!$C$144),1,0)</f>
        <v>0</v>
      </c>
      <c r="G24" s="62">
        <f>IF(AND(G$23=1,'TS4500'!M$11=Names4500!$C$144),1,0)</f>
        <v>0</v>
      </c>
      <c r="H24" s="62">
        <f>IF(AND(H$23=1,'TS4500'!N$11=Names4500!$C$144),1,0)</f>
        <v>0</v>
      </c>
      <c r="I24" s="62">
        <f>IF(AND(I$23=1,'TS4500'!O$11=Names4500!$C$144),1,0)</f>
        <v>0</v>
      </c>
      <c r="J24" s="62">
        <f>IF(AND(J$23=1,'TS4500'!P$11=Names4500!$C$144),1,0)</f>
        <v>0</v>
      </c>
      <c r="K24" s="62">
        <f>IF(AND(K$23=1,'TS4500'!Q$11=Names4500!$C$144),1,0)</f>
        <v>0</v>
      </c>
      <c r="L24" s="62">
        <f>IF(AND(L$23=1,'TS4500'!R$11=Names4500!$C$144),1,0)</f>
        <v>0</v>
      </c>
      <c r="M24" s="62">
        <f>IF(AND(M$23=1,'TS4500'!S$11=Names4500!$C$144),1,0)</f>
        <v>0</v>
      </c>
      <c r="N24" s="62">
        <f>IF(AND(N$23=1,'TS4500'!T$11=Names4500!$C$144),1,0)</f>
        <v>0</v>
      </c>
      <c r="O24" s="62">
        <f>IF(AND(O$23=1,'TS4500'!U$11=Names4500!$C$144),1,0)</f>
        <v>0</v>
      </c>
      <c r="P24" s="62">
        <f>IF(AND(P$23=1,'TS4500'!V$11=Names4500!$C$144),1,0)</f>
        <v>0</v>
      </c>
      <c r="Q24" s="62">
        <f>IF(AND(Q$23=1,'TS4500'!W$11=Names4500!$C$144),1,0)</f>
        <v>0</v>
      </c>
      <c r="R24" s="62">
        <f>IF(AND(R$23=1,'TS4500'!X$11=Names4500!$C$144),1,0)</f>
        <v>0</v>
      </c>
      <c r="S24" s="62">
        <f>IF(AND(S$23=1,'TS4500'!Y$11=Names4500!$C$144),1,0)</f>
        <v>0</v>
      </c>
      <c r="T24" s="62">
        <f>IF(AND(T$23=1,'TS4500'!Z$11=Names4500!$C$144),1,0)</f>
        <v>0</v>
      </c>
    </row>
    <row r="25" spans="1:27">
      <c r="A25" t="s">
        <v>519</v>
      </c>
      <c r="C25" s="62" t="str">
        <f>'TS4500'!F7</f>
        <v>D25</v>
      </c>
      <c r="D25" s="62" t="str">
        <f>'TS4500'!J7</f>
        <v>L25</v>
      </c>
      <c r="E25" s="62" t="str">
        <f>'TS4500'!K7</f>
        <v>D25</v>
      </c>
      <c r="F25" s="62" t="str">
        <f>'TS4500'!L7</f>
        <v>D25</v>
      </c>
      <c r="G25" s="62" t="str">
        <f>'TS4500'!M7</f>
        <v>S25</v>
      </c>
      <c r="H25" s="62" t="str">
        <f>'TS4500'!N7</f>
        <v>S25</v>
      </c>
      <c r="I25" s="62" t="str">
        <f>'TS4500'!O7</f>
        <v>S25</v>
      </c>
      <c r="J25" s="62" t="str">
        <f>'TS4500'!P7</f>
        <v>S25</v>
      </c>
      <c r="K25" s="62" t="str">
        <f>'TS4500'!Q7</f>
        <v>S25</v>
      </c>
      <c r="L25" s="62" t="str">
        <f>'TS4500'!R7</f>
        <v>S25</v>
      </c>
      <c r="M25" s="62" t="str">
        <f>'TS4500'!S7</f>
        <v>S25</v>
      </c>
      <c r="N25" s="62" t="str">
        <f>'TS4500'!T7</f>
        <v>S25</v>
      </c>
      <c r="O25" s="62" t="str">
        <f>'TS4500'!U7</f>
        <v>S55</v>
      </c>
      <c r="P25" s="62" t="str">
        <f>'TS4500'!V7</f>
        <v>D55</v>
      </c>
      <c r="Q25" s="62" t="str">
        <f>'TS4500'!W7</f>
        <v>D55</v>
      </c>
      <c r="R25" s="62" t="str">
        <f>'TS4500'!X7</f>
        <v>S55</v>
      </c>
      <c r="S25" s="62" t="str">
        <f>'TS4500'!Y7</f>
        <v>D55</v>
      </c>
      <c r="T25" s="62" t="str">
        <f>'TS4500'!Z7</f>
        <v>D55</v>
      </c>
    </row>
    <row r="26" spans="1:27">
      <c r="A26" t="s">
        <v>520</v>
      </c>
      <c r="C26" s="62" t="str">
        <f>'TS4500'!F15</f>
        <v>3592</v>
      </c>
      <c r="D26" s="62" t="str">
        <f>'TS4500'!J15</f>
        <v>3592</v>
      </c>
      <c r="E26" s="62" t="str">
        <f>'TS4500'!K15</f>
        <v>3592</v>
      </c>
      <c r="F26" s="62" t="str">
        <f>'TS4500'!L15</f>
        <v>3592</v>
      </c>
      <c r="G26" s="62" t="str">
        <f>'TS4500'!M15</f>
        <v>3592</v>
      </c>
      <c r="H26" s="62" t="str">
        <f>'TS4500'!N15</f>
        <v>3592</v>
      </c>
      <c r="I26" s="62" t="str">
        <f>'TS4500'!O15</f>
        <v>3592</v>
      </c>
      <c r="J26" s="62" t="str">
        <f>'TS4500'!P15</f>
        <v>3592</v>
      </c>
      <c r="K26" s="62" t="str">
        <f>'TS4500'!Q15</f>
        <v>3592</v>
      </c>
      <c r="L26" s="62" t="str">
        <f>'TS4500'!R15</f>
        <v>3592</v>
      </c>
      <c r="M26" s="62" t="str">
        <f>'TS4500'!S15</f>
        <v>3592</v>
      </c>
      <c r="N26" s="62" t="str">
        <f>'TS4500'!T15</f>
        <v>3592</v>
      </c>
      <c r="O26" s="62" t="str">
        <f>'TS4500'!U15</f>
        <v>LTO</v>
      </c>
      <c r="P26" s="62" t="str">
        <f>'TS4500'!V15</f>
        <v>LTO</v>
      </c>
      <c r="Q26" s="62" t="str">
        <f>'TS4500'!W15</f>
        <v>LTO</v>
      </c>
      <c r="R26" s="62" t="str">
        <f>'TS4500'!X15</f>
        <v>LTO</v>
      </c>
      <c r="S26" s="62" t="str">
        <f>'TS4500'!Y15</f>
        <v>LTO</v>
      </c>
      <c r="T26" s="62" t="str">
        <f>'TS4500'!Z15</f>
        <v>LTO</v>
      </c>
    </row>
    <row r="27" spans="1:27">
      <c r="A27" t="s">
        <v>521</v>
      </c>
      <c r="C27" s="62" t="str">
        <f>'TS4500'!F11</f>
        <v/>
      </c>
      <c r="D27" s="62" t="str">
        <f>'TS4500'!J11</f>
        <v>2x I/O</v>
      </c>
      <c r="E27" s="62" t="str">
        <f>'TS4500'!K11</f>
        <v/>
      </c>
      <c r="F27" s="62" t="str">
        <f>'TS4500'!L11</f>
        <v/>
      </c>
      <c r="G27" s="62" t="str">
        <f>'TS4500'!M11</f>
        <v/>
      </c>
      <c r="H27" s="62" t="str">
        <f>'TS4500'!N11</f>
        <v/>
      </c>
      <c r="I27" s="62" t="str">
        <f>'TS4500'!O11</f>
        <v/>
      </c>
      <c r="J27" s="62" t="str">
        <f>'TS4500'!P11</f>
        <v/>
      </c>
      <c r="K27" s="62" t="str">
        <f>'TS4500'!Q11</f>
        <v/>
      </c>
      <c r="L27" s="62" t="str">
        <f>'TS4500'!R11</f>
        <v/>
      </c>
      <c r="M27" s="62" t="str">
        <f>'TS4500'!S11</f>
        <v/>
      </c>
      <c r="N27" s="62" t="str">
        <f>'TS4500'!T11</f>
        <v/>
      </c>
      <c r="O27" s="62" t="str">
        <f>'TS4500'!U11</f>
        <v/>
      </c>
      <c r="P27" s="62" t="str">
        <f>'TS4500'!V11</f>
        <v/>
      </c>
      <c r="Q27" s="62" t="str">
        <f>'TS4500'!W11</f>
        <v/>
      </c>
      <c r="R27" s="62" t="str">
        <f>'TS4500'!X11</f>
        <v/>
      </c>
      <c r="S27" s="62" t="str">
        <f>'TS4500'!Y11</f>
        <v/>
      </c>
      <c r="T27" s="62" t="str">
        <f>'TS4500'!Z11</f>
        <v/>
      </c>
    </row>
    <row r="28" spans="1:27">
      <c r="A28" t="s">
        <v>522</v>
      </c>
      <c r="C28" s="345">
        <f>IF(C22&lt;='TS4500'!$F$5,IF(AND(C25="D55",C27="2x I/O"),N11,IF(AND(C25="D55",C27=""),N10,IF(AND(C25="L55",C27="2x I/O"),J10,IF(AND(C25="L55",C27=""),J10,IF(AND(C25="S55",C27="2x I/O"),T10,IF(AND(C25="S55",C27=""),T10,IF(AND(C25="D25",C27="2x I/O"),L11,IF(AND(C25="D25",C27=""),L10,IF(AND(C25="L25",C27="2x I/O"),E10,IF(AND(C25="L25",C27=""),E10,IF(AND(C25="S25",C27="2x I/O"),R10,IF(AND(C25="S25",C27=""),R10,0)))))))))))))</f>
        <v>590</v>
      </c>
      <c r="D28" s="345">
        <f>IF(D22&lt;='TS4500'!$F$5,IF(AND(D25="D55",D27="2x I/O"),$O$11,IF(AND(D25="D55",D27=""),$O$10,IF(AND(D25="L55",D27="2x I/O"),$K$10,IF(AND(D25="L55",D27=""),$K$10,IF(AND(D25="S55",D27="2x I/O"),$U$10,IF(AND(D25="S55",D27=""),$U$10,IF(AND(D25="D25",D27="2x I/O"),$M$11,IF(AND(D25="D25",D27=""),$M$10,IF(AND(D25="L25",D27="2x I/O"),$F$10,IF(AND(D25="L25",D27=""),$F$10,IF(AND(D25="S25",D27="2x I/O"),$S$10,IF(AND(D25="S25",D27=""),$S$10,IF(AND(D25="S24",D27="2x I/O"),$S$10,IF(AND(D25="S24",D27=""),$S$10,IF(AND(D25="S54",D27="2x I/O"),$S$10,IF(AND(D25="S54",D27=""),$S$10,0)))))))))))))))))</f>
        <v>660</v>
      </c>
      <c r="E28" s="345">
        <f>IF(E22&lt;='TS4500'!$F$5,IF(AND(E25="D55",E27="2x I/O"),$O$11,IF(AND(E25="D55",E27=""),$O$10,IF(AND(E25="L55",E27="2x I/O"),$K$10,IF(AND(E25="L55",E27=""),$K$10,IF(AND(E25="S55",E27="2x I/O"),$U$10,IF(AND(E25="S55",E27=""),$U$10,IF(AND(E25="D25",E27="2x I/O"),$M$11,IF(AND(E25="D25",E27=""),$M$10,IF(AND(E25="L25",E27="2x I/O"),$F$10,IF(AND(E25="L25",E27=""),$F$10,IF(AND(E25="S25",E27="2x I/O"),$S$10,IF(AND(E25="S25",E27=""),$S$10,IF(AND(E25="S24",E27="2x I/O"),$S$10,IF(AND(E25="S24",E27=""),$S$10,IF(AND(E25="S54",E27="2x I/O"),$S$10,IF(AND(E25="S54",E27=""),$S$10,0)))))))))))))))))</f>
        <v>740</v>
      </c>
      <c r="F28" s="345">
        <f>IF(F22&lt;='TS4500'!$F$5,IF(AND(F25="D55",F27="2x I/O"),$O$11,IF(AND(F25="D55",F27=""),$O$10,IF(AND(F25="L55",F27="2x I/O"),$K$10,IF(AND(F25="L55",F27=""),$K$10,IF(AND(F25="S55",F27="2x I/O"),$U$10,IF(AND(F25="S55",F27=""),$U$10,IF(AND(F25="D25",F27="2x I/O"),$M$11,IF(AND(F25="D25",F27=""),$M$10,IF(AND(F25="L25",F27="2x I/O"),$F$10,IF(AND(F25="L25",F27=""),$F$10,IF(AND(F25="S25",F27="2x I/O"),$S$10,IF(AND(F25="S25",F27=""),$S$10,IF(AND(F25="S24",F27="2x I/O"),$S$10,IF(AND(F25="S24",F27=""),$S$10,IF(AND(F25="S54",F27="2x I/O"),$S$10,IF(AND(F25="S54",F27=""),$S$10,0)))))))))))))))))</f>
        <v>740</v>
      </c>
      <c r="G28" s="345" t="b">
        <f>IF(G22&lt;='TS4500'!$F$5,IF(AND(G25="D55",G27="2x I/O"),$O$11,IF(AND(G25="D55",G27=""),$O$10,IF(AND(G25="L55",G27="2x I/O"),$K$10,IF(AND(G25="L55",G27=""),$K$10,IF(AND(G25="S55",G27="2x I/O"),$U$10,IF(AND(G25="S55",G27=""),$U$10,IF(AND(G25="D25",G27="2x I/O"),$M$11,IF(AND(G25="D25",G27=""),$M$10,IF(AND(G25="L25",G27="2x I/O"),$F$10,IF(AND(G25="L25",G27=""),$F$10,IF(AND(G25="S25",G27="2x I/O"),$S$10,IF(AND(G25="S25",G27=""),$S$10,IF(AND(G25="S24",G27="2x I/O"),$S$10,IF(AND(G25="S24",G27=""),$S$10,IF(AND(G25="S54",G27="2x I/O"),$S$10,IF(AND(G25="S54",G27=""),$S$10,0)))))))))))))))))</f>
        <v>0</v>
      </c>
      <c r="H28" s="345" t="b">
        <f>IF(H22&lt;='TS4500'!$F$5,IF(AND(H25="D55",H27="2x I/O"),$O$11,IF(AND(H25="D55",H27=""),$O$10,IF(AND(H25="L55",H27="2x I/O"),$K$10,IF(AND(H25="L55",H27=""),$K$10,IF(AND(H25="S55",H27="2x I/O"),$U$10,IF(AND(H25="S55",H27=""),$U$10,IF(AND(H25="D25",H27="2x I/O"),$M$11,IF(AND(H25="D25",H27=""),$M$10,IF(AND(H25="L25",H27="2x I/O"),$F$10,IF(AND(H25="L25",H27=""),$F$10,IF(AND(H25="S25",H27="2x I/O"),$S$10,IF(AND(H25="S25",H27=""),$S$10,IF(AND(H25="S24",H27="2x I/O"),$S$10,IF(AND(H25="S24",H27=""),$S$10,IF(AND(H25="S54",H27="2x I/O"),$S$10,IF(AND(H25="S54",H27=""),$S$10,0)))))))))))))))))</f>
        <v>0</v>
      </c>
      <c r="I28" s="345" t="b">
        <f>IF(I22&lt;='TS4500'!$F$5,IF(AND(I25="D55",I27="2x I/O"),$O$11,IF(AND(I25="D55",I27=""),$O$10,IF(AND(I25="L55",I27="2x I/O"),$K$10,IF(AND(I25="L55",I27=""),$K$10,IF(AND(I25="S55",I27="2x I/O"),$U$10,IF(AND(I25="S55",I27=""),$U$10,IF(AND(I25="D25",I27="2x I/O"),$M$11,IF(AND(I25="D25",I27=""),$M$10,IF(AND(I25="L25",I27="2x I/O"),$F$10,IF(AND(I25="L25",I27=""),$F$10,IF(AND(I25="S25",I27="2x I/O"),$S$10,IF(AND(I25="S25",I27=""),$S$10,IF(AND(I25="S24",I27="2x I/O"),$S$10,IF(AND(I25="S24",I27=""),$S$10,IF(AND(I25="S54",I27="2x I/O"),$S$10,IF(AND(I25="S54",I27=""),$S$10,0)))))))))))))))))</f>
        <v>0</v>
      </c>
      <c r="J28" s="345" t="b">
        <f>IF(J22&lt;='TS4500'!$F$5,IF(AND(J25="D55",J27="2x I/O"),$O$11,IF(AND(J25="D55",J27=""),$O$10,IF(AND(J25="L55",J27="2x I/O"),$K$10,IF(AND(J25="L55",J27=""),$K$10,IF(AND(J25="S55",J27="2x I/O"),$U$10,IF(AND(J25="S55",J27=""),$U$10,IF(AND(J25="D25",J27="2x I/O"),$M$11,IF(AND(J25="D25",J27=""),$M$10,IF(AND(J25="L25",J27="2x I/O"),$F$10,IF(AND(J25="L25",J27=""),$F$10,IF(AND(J25="S25",J27="2x I/O"),$S$10,IF(AND(J25="S25",J27=""),$S$10,IF(AND(J25="S24",J27="2x I/O"),$S$10,IF(AND(J25="S24",J27=""),$S$10,IF(AND(J25="S54",J27="2x I/O"),$S$10,IF(AND(J25="S54",J27=""),$S$10,0)))))))))))))))))</f>
        <v>0</v>
      </c>
      <c r="K28" s="345" t="b">
        <f>IF(K22&lt;='TS4500'!$F$5,IF(AND(K25="D55",K27="2x I/O"),$O$11,IF(AND(K25="D55",K27=""),$O$10,IF(AND(K25="L55",K27="2x I/O"),$K$10,IF(AND(K25="L55",K27=""),$K$10,IF(AND(K25="S55",K27="2x I/O"),$U$10,IF(AND(K25="S55",K27=""),$U$10,IF(AND(K25="D25",K27="2x I/O"),$M$11,IF(AND(K25="D25",K27=""),$M$10,IF(AND(K25="L25",K27="2x I/O"),$F$10,IF(AND(K25="L25",K27=""),$F$10,IF(AND(K25="S25",K27="2x I/O"),$S$10,IF(AND(K25="S25",K27=""),$S$10,IF(AND(K25="S24",K27="2x I/O"),$S$10,IF(AND(K25="S24",K27=""),$S$10,IF(AND(K25="S54",K27="2x I/O"),$S$10,IF(AND(K25="S54",K27=""),$S$10,0)))))))))))))))))</f>
        <v>0</v>
      </c>
      <c r="L28" s="345" t="b">
        <f>IF(L22&lt;='TS4500'!$F$5,IF(AND(L25="D55",L27="2x I/O"),$O$11,IF(AND(L25="D55",L27=""),$O$10,IF(AND(L25="L55",L27="2x I/O"),$K$10,IF(AND(L25="L55",L27=""),$K$10,IF(AND(L25="S55",L27="2x I/O"),$U$10,IF(AND(L25="S55",L27=""),$U$10,IF(AND(L25="D25",L27="2x I/O"),$M$11,IF(AND(L25="D25",L27=""),$M$10,IF(AND(L25="L25",L27="2x I/O"),$F$10,IF(AND(L25="L25",L27=""),$F$10,IF(AND(L25="S25",L27="2x I/O"),$S$10,IF(AND(L25="S25",L27=""),$S$10,IF(AND(L25="S24",L27="2x I/O"),$S$10,IF(AND(L25="S24",L27=""),$S$10,IF(AND(L25="S54",L27="2x I/O"),$S$10,IF(AND(L25="S54",L27=""),$S$10,0)))))))))))))))))</f>
        <v>0</v>
      </c>
      <c r="M28" s="345" t="b">
        <f>IF(M22&lt;='TS4500'!$F$5,IF(AND(M25="D55",M27="2x I/O"),$O$11,IF(AND(M25="D55",M27=""),$O$10,IF(AND(M25="L55",M27="2x I/O"),$K$10,IF(AND(M25="L55",M27=""),$K$10,IF(AND(M25="S55",M27="2x I/O"),$U$10,IF(AND(M25="S55",M27=""),$U$10,IF(AND(M25="D25",M27="2x I/O"),$M$11,IF(AND(M25="D25",M27=""),$M$10,IF(AND(M25="L25",M27="2x I/O"),$F$10,IF(AND(M25="L25",M27=""),$F$10,IF(AND(M25="S25",M27="2x I/O"),$S$10,IF(AND(M25="S25",M27=""),$S$10,IF(AND(M25="S24",M27="2x I/O"),$S$10,IF(AND(M25="S24",M27=""),$S$10,IF(AND(M25="S54",M27="2x I/O"),$S$10,IF(AND(M25="S54",M27=""),$S$10,0)))))))))))))))))</f>
        <v>0</v>
      </c>
      <c r="N28" s="345" t="b">
        <f>IF(N22&lt;='TS4500'!$F$5,IF(AND(N25="D55",N27="2x I/O"),$O$11,IF(AND(N25="D55",N27=""),$O$10,IF(AND(N25="L55",N27="2x I/O"),$K$10,IF(AND(N25="L55",N27=""),$K$10,IF(AND(N25="S55",N27="2x I/O"),$U$10,IF(AND(N25="S55",N27=""),$U$10,IF(AND(N25="D25",N27="2x I/O"),$M$11,IF(AND(N25="D25",N27=""),$M$10,IF(AND(N25="L25",N27="2x I/O"),$F$10,IF(AND(N25="L25",N27=""),$F$10,IF(AND(N25="S25",N27="2x I/O"),$S$10,IF(AND(N25="S25",N27=""),$S$10,IF(AND(N25="S24",N27="2x I/O"),$S$10,IF(AND(N25="S24",N27=""),$S$10,IF(AND(N25="S54",N27="2x I/O"),$S$10,IF(AND(N25="S54",N27=""),$S$10,0)))))))))))))))))</f>
        <v>0</v>
      </c>
      <c r="O28" s="345" t="b">
        <f>IF(O22&lt;='TS4500'!$F$5,IF(AND(O25="D55",O27="2x I/O"),$O$11,IF(AND(O25="D55",O27=""),$O$10,IF(AND(O25="L55",O27="2x I/O"),$K$10,IF(AND(O25="L55",O27=""),$K$10,IF(AND(O25="S55",O27="2x I/O"),$U$10,IF(AND(O25="S55",O27=""),$U$10,IF(AND(O25="D25",O27="2x I/O"),$M$11,IF(AND(O25="D25",O27=""),$M$10,IF(AND(O25="L25",O27="2x I/O"),$F$10,IF(AND(O25="L25",O27=""),$F$10,IF(AND(O25="S25",O27="2x I/O"),$S$10,IF(AND(O25="S25",O27=""),$S$10,IF(AND(O25="S24",O27="2x I/O"),$S$10,IF(AND(O25="S24",O27=""),$S$10,IF(AND(O25="S54",O27="2x I/O"),$S$10,IF(AND(O25="S54",O27=""),$S$10,0)))))))))))))))))</f>
        <v>0</v>
      </c>
      <c r="P28" s="345" t="b">
        <f>IF(P22&lt;='TS4500'!$F$5,IF(AND(P25="D55",P27="2x I/O"),$O$11,IF(AND(P25="D55",P27=""),$O$10,IF(AND(P25="L55",P27="2x I/O"),$K$10,IF(AND(P25="L55",P27=""),$K$10,IF(AND(P25="S55",P27="2x I/O"),$U$10,IF(AND(P25="S55",P27=""),$U$10,IF(AND(P25="D25",P27="2x I/O"),$M$11,IF(AND(P25="D25",P27=""),$M$10,IF(AND(P25="L25",P27="2x I/O"),$F$10,IF(AND(P25="L25",P27=""),$F$10,IF(AND(P25="S25",P27="2x I/O"),$S$10,IF(AND(P25="S25",P27=""),$S$10,IF(AND(P25="S24",P27="2x I/O"),$S$10,IF(AND(P25="S24",P27=""),$S$10,IF(AND(P25="S54",P27="2x I/O"),$S$10,IF(AND(P25="S54",P27=""),$S$10,0)))))))))))))))))</f>
        <v>0</v>
      </c>
      <c r="Q28" s="345" t="b">
        <f>IF(Q22&lt;='TS4500'!$F$5,IF(AND(Q25="D55",Q27="2x I/O"),$O$11,IF(AND(Q25="D55",Q27=""),$O$10,IF(AND(Q25="L55",Q27="2x I/O"),$K$10,IF(AND(Q25="L55",Q27=""),$K$10,IF(AND(Q25="S55",Q27="2x I/O"),$U$10,IF(AND(Q25="S55",Q27=""),$U$10,IF(AND(Q25="D25",Q27="2x I/O"),$M$11,IF(AND(Q25="D25",Q27=""),$M$10,IF(AND(Q25="L25",Q27="2x I/O"),$F$10,IF(AND(Q25="L25",Q27=""),$F$10,IF(AND(Q25="S25",Q27="2x I/O"),$S$10,IF(AND(Q25="S25",Q27=""),$S$10,IF(AND(Q25="S24",Q27="2x I/O"),$S$10,IF(AND(Q25="S24",Q27=""),$S$10,IF(AND(Q25="S54",Q27="2x I/O"),$S$10,IF(AND(Q25="S54",Q27=""),$S$10,0)))))))))))))))))</f>
        <v>0</v>
      </c>
      <c r="R28" s="345" t="b">
        <f>IF(R22&lt;='TS4500'!$F$5,IF(AND(R25="D55",R27="2x I/O"),$O$11,IF(AND(R25="D55",R27=""),$O$10,IF(AND(R25="L55",R27="2x I/O"),$K$10,IF(AND(R25="L55",R27=""),$K$10,IF(AND(R25="S55",R27="2x I/O"),$U$10,IF(AND(R25="S55",R27=""),$U$10,IF(AND(R25="D25",R27="2x I/O"),$M$11,IF(AND(R25="D25",R27=""),$M$10,IF(AND(R25="L25",R27="2x I/O"),$F$10,IF(AND(R25="L25",R27=""),$F$10,IF(AND(R25="S25",R27="2x I/O"),$S$10,IF(AND(R25="S25",R27=""),$S$10,IF(AND(R25="S24",R27="2x I/O"),$S$10,IF(AND(R25="S24",R27=""),$S$10,IF(AND(R25="S54",R27="2x I/O"),$S$10,IF(AND(R25="S54",R27=""),$S$10,0)))))))))))))))))</f>
        <v>0</v>
      </c>
      <c r="S28" s="345" t="b">
        <f>IF(S22&lt;='TS4500'!$F$5,IF(AND(S25="D55",S27="2x I/O"),$O$11,IF(AND(S25="D55",S27=""),$O$10,IF(AND(S25="L55",S27="2x I/O"),$K$10,IF(AND(S25="L55",S27=""),$K$10,IF(AND(S25="S55",S27="2x I/O"),$U$10,IF(AND(S25="S55",S27=""),$U$10,IF(AND(S25="D25",S27="2x I/O"),$M$11,IF(AND(S25="D25",S27=""),$M$10,IF(AND(S25="L25",S27="2x I/O"),$F$10,IF(AND(S25="L25",S27=""),$F$10,IF(AND(S25="S25",S27="2x I/O"),$S$10,IF(AND(S25="S25",S27=""),$S$10,IF(AND(S25="S24",S27="2x I/O"),$S$10,IF(AND(S25="S24",S27=""),$S$10,IF(AND(S25="S54",S27="2x I/O"),$S$10,IF(AND(S25="S54",S27=""),$S$10,0)))))))))))))))))</f>
        <v>0</v>
      </c>
      <c r="T28" s="345" t="b">
        <f>IF(T22&lt;='TS4500'!$F$5,IF(AND(T25="D55",T27="2x I/O"),$O$11,IF(AND(T25="D55",T27=""),$O$10,IF(AND(T25="L55",T27="2x I/O"),$K$10,IF(AND(T25="L55",T27=""),$K$10,IF(AND(T25="S55",T27="2x I/O"),$U$10,IF(AND(T25="S55",T27=""),$U$10,IF(AND(T25="D25",T27="2x I/O"),$M$11,IF(AND(T25="D25",T27=""),$M$10,IF(AND(T25="L25",T27="2x I/O"),$F$10,IF(AND(T25="L25",T27=""),$F$10,IF(AND(T25="S25",T27="2x I/O"),$S$10,IF(AND(T25="S25",T27=""),$S$10,IF(AND(T25="S24",T27="2x I/O"),$S$10,IF(AND(T25="S24",T27=""),$S$10,IF(AND(T25="S54",T27="2x I/O"),$S$10,IF(AND(T25="S54",T27=""),$S$10,0)))))))))))))))))</f>
        <v>0</v>
      </c>
      <c r="U28" s="347">
        <f>SUM(C28:T28)</f>
        <v>2730</v>
      </c>
      <c r="V28" s="6" t="s">
        <v>524</v>
      </c>
    </row>
    <row r="29" spans="1:27">
      <c r="C29" s="62"/>
      <c r="D29" s="62"/>
      <c r="E29" s="62"/>
      <c r="F29" s="62"/>
      <c r="G29" s="62"/>
      <c r="H29" s="62"/>
      <c r="I29" s="62"/>
      <c r="J29" s="62"/>
      <c r="K29" s="62"/>
      <c r="L29" s="62"/>
      <c r="M29" s="62"/>
      <c r="N29" s="62"/>
      <c r="O29" s="62"/>
      <c r="P29" s="62"/>
      <c r="Q29" s="62"/>
      <c r="U29" s="347">
        <f>U28+Y18+Z18</f>
        <v>1842</v>
      </c>
      <c r="V29" s="6" t="s">
        <v>525</v>
      </c>
    </row>
    <row r="30" spans="1:27">
      <c r="C30" s="62">
        <f t="shared" ref="C30:T30" si="2">IF(C26="LTO",C28,0)</f>
        <v>0</v>
      </c>
      <c r="D30" s="62">
        <f t="shared" si="2"/>
        <v>0</v>
      </c>
      <c r="E30" s="62">
        <f t="shared" si="2"/>
        <v>0</v>
      </c>
      <c r="F30" s="62">
        <f t="shared" si="2"/>
        <v>0</v>
      </c>
      <c r="G30" s="62">
        <f t="shared" si="2"/>
        <v>0</v>
      </c>
      <c r="H30" s="62">
        <f t="shared" si="2"/>
        <v>0</v>
      </c>
      <c r="I30" s="62">
        <f t="shared" si="2"/>
        <v>0</v>
      </c>
      <c r="J30" s="62">
        <f t="shared" si="2"/>
        <v>0</v>
      </c>
      <c r="K30" s="62">
        <f t="shared" si="2"/>
        <v>0</v>
      </c>
      <c r="L30" s="62">
        <f t="shared" si="2"/>
        <v>0</v>
      </c>
      <c r="M30" s="62">
        <f t="shared" si="2"/>
        <v>0</v>
      </c>
      <c r="N30" s="62">
        <f t="shared" si="2"/>
        <v>0</v>
      </c>
      <c r="O30" s="62" t="b">
        <f t="shared" si="2"/>
        <v>0</v>
      </c>
      <c r="P30" s="62" t="b">
        <f t="shared" si="2"/>
        <v>0</v>
      </c>
      <c r="Q30" s="62" t="b">
        <f t="shared" si="2"/>
        <v>0</v>
      </c>
      <c r="R30" s="62" t="b">
        <f t="shared" si="2"/>
        <v>0</v>
      </c>
      <c r="S30" s="62" t="b">
        <f t="shared" si="2"/>
        <v>0</v>
      </c>
      <c r="T30" s="62" t="b">
        <f t="shared" si="2"/>
        <v>0</v>
      </c>
      <c r="U30" s="347">
        <f>SUM(C30:T30)</f>
        <v>0</v>
      </c>
      <c r="V30" t="s">
        <v>526</v>
      </c>
    </row>
    <row r="31" spans="1:27">
      <c r="C31" s="62">
        <f t="shared" ref="C31:T31" si="3">IF(C26="3592",C28,0)</f>
        <v>590</v>
      </c>
      <c r="D31" s="62">
        <f t="shared" si="3"/>
        <v>660</v>
      </c>
      <c r="E31" s="62">
        <f t="shared" si="3"/>
        <v>740</v>
      </c>
      <c r="F31" s="62">
        <f t="shared" si="3"/>
        <v>740</v>
      </c>
      <c r="G31" s="62" t="b">
        <f t="shared" si="3"/>
        <v>0</v>
      </c>
      <c r="H31" s="62" t="b">
        <f t="shared" si="3"/>
        <v>0</v>
      </c>
      <c r="I31" s="62" t="b">
        <f t="shared" si="3"/>
        <v>0</v>
      </c>
      <c r="J31" s="62" t="b">
        <f t="shared" si="3"/>
        <v>0</v>
      </c>
      <c r="K31" s="62" t="b">
        <f t="shared" si="3"/>
        <v>0</v>
      </c>
      <c r="L31" s="62" t="b">
        <f t="shared" si="3"/>
        <v>0</v>
      </c>
      <c r="M31" s="62" t="b">
        <f t="shared" si="3"/>
        <v>0</v>
      </c>
      <c r="N31" s="62" t="b">
        <f t="shared" si="3"/>
        <v>0</v>
      </c>
      <c r="O31" s="62">
        <f t="shared" si="3"/>
        <v>0</v>
      </c>
      <c r="P31" s="62">
        <f t="shared" si="3"/>
        <v>0</v>
      </c>
      <c r="Q31" s="62">
        <f t="shared" si="3"/>
        <v>0</v>
      </c>
      <c r="R31" s="62">
        <f t="shared" si="3"/>
        <v>0</v>
      </c>
      <c r="S31" s="62">
        <f t="shared" si="3"/>
        <v>0</v>
      </c>
      <c r="T31" s="62">
        <f t="shared" si="3"/>
        <v>0</v>
      </c>
      <c r="U31" s="347">
        <f>SUM(C31:T31)</f>
        <v>2730</v>
      </c>
      <c r="V31" t="s">
        <v>527</v>
      </c>
    </row>
    <row r="32" spans="1:27">
      <c r="A32" s="11" t="s">
        <v>206</v>
      </c>
      <c r="C32" s="62"/>
      <c r="D32" s="62">
        <f ca="1">IF(OR('TS4500'!F7="L22", 'TS4500'!F7="L25"),'TS4500'!F9,0) + SUMIF(INDIRECT(F4500Type02to),"=D22",INDIRECT(Dr4500Num02to))+SUMIF(INDIRECT(F4500Type02to),"=D25",INDIRECT(Dr4500Num02to))</f>
        <v>0</v>
      </c>
      <c r="E32" s="297">
        <v>128</v>
      </c>
      <c r="F32" s="297" t="s">
        <v>460</v>
      </c>
      <c r="G32" s="297"/>
      <c r="H32" s="297"/>
      <c r="I32" s="297"/>
      <c r="J32" s="62"/>
      <c r="K32" s="62"/>
      <c r="L32" s="62"/>
      <c r="M32" s="62"/>
      <c r="N32" s="62"/>
      <c r="O32" s="62"/>
      <c r="P32" s="62"/>
      <c r="Q32" s="62"/>
      <c r="U32" s="347">
        <f>U30+Y19+Z19</f>
        <v>0</v>
      </c>
      <c r="V32" t="s">
        <v>528</v>
      </c>
    </row>
    <row r="33" spans="1:24">
      <c r="A33" s="11" t="s">
        <v>207</v>
      </c>
      <c r="D33" s="62">
        <f ca="1">IF(OR('TS4500'!F7="L32", 'TS4500'!F7="L52",'TS4500'!F7="L55"),'TS4500'!F9,0) + SUMIF(INDIRECT(F4500Type02to),"=D32",INDIRECT(Dr4500Num02to))+SUMIF(INDIRECT(F4500Type02to),"=D52",INDIRECT(Dr4500Num02to))+SUMIF(INDIRECT(F4500Type02to),"=D55",INDIRECT(Dr4500Num02to))</f>
        <v>0</v>
      </c>
      <c r="E33" s="62">
        <f ca="1">'TS4500'!H1</f>
        <v>7</v>
      </c>
      <c r="F33" s="62" t="s">
        <v>464</v>
      </c>
      <c r="G33" s="62"/>
      <c r="H33" s="62"/>
      <c r="I33" s="62"/>
      <c r="J33" s="62"/>
      <c r="K33" s="62"/>
      <c r="L33" s="62"/>
      <c r="M33" s="62"/>
      <c r="N33" s="62"/>
      <c r="O33" s="62"/>
      <c r="P33" s="62"/>
      <c r="Q33" s="62"/>
      <c r="U33" s="347">
        <f>U31+Y20+Z20</f>
        <v>1842</v>
      </c>
      <c r="V33" t="s">
        <v>529</v>
      </c>
    </row>
    <row r="34" spans="1:24">
      <c r="A34" t="s">
        <v>241</v>
      </c>
      <c r="D34" s="193">
        <f ca="1">IF(AND(D32&gt;0, D33&gt;0), 3, IF(D32&gt;0,1,IF(D33&gt;0, 2,0)))</f>
        <v>0</v>
      </c>
      <c r="E34" s="9" t="s">
        <v>404</v>
      </c>
      <c r="F34" s="62"/>
      <c r="G34" s="62"/>
      <c r="H34" s="62"/>
      <c r="I34" s="62"/>
      <c r="J34" s="62"/>
      <c r="K34" s="62"/>
      <c r="L34" s="62"/>
      <c r="M34" s="62"/>
      <c r="N34" s="62"/>
      <c r="O34" s="62"/>
      <c r="P34" s="62"/>
      <c r="Q34" s="62"/>
      <c r="T34" s="229" t="s">
        <v>421</v>
      </c>
      <c r="U34" s="348">
        <f>IF(Table4500!U36-U32&lt;0,0,Table4500!U36-U32)</f>
        <v>0</v>
      </c>
      <c r="V34" t="s">
        <v>530</v>
      </c>
    </row>
    <row r="35" spans="1:24">
      <c r="C35" s="62"/>
      <c r="D35" s="62"/>
      <c r="E35" s="62"/>
      <c r="F35" s="62"/>
      <c r="G35" s="62"/>
      <c r="H35" s="62"/>
      <c r="I35" s="62"/>
      <c r="J35" s="62"/>
      <c r="K35" s="62"/>
      <c r="L35" s="62"/>
      <c r="M35" s="62"/>
      <c r="N35" s="62"/>
      <c r="O35" s="62"/>
      <c r="P35" s="62"/>
      <c r="Q35" s="62"/>
      <c r="T35" s="229" t="s">
        <v>421</v>
      </c>
      <c r="U35" s="348">
        <f>IF(Table4500!U37-U33&lt;0,0,Table4500!U37-U33)</f>
        <v>888</v>
      </c>
      <c r="V35" t="s">
        <v>531</v>
      </c>
      <c r="X35" s="4"/>
    </row>
    <row r="36" spans="1:24">
      <c r="A36" t="s">
        <v>208</v>
      </c>
      <c r="D36" s="62">
        <f>'TS4500'!$F$5-INDEX(Table4500!C44:C59,Table4500!B41+1)-INDEX(Table4500!E44:E59,Table4500!B42+1)</f>
        <v>4</v>
      </c>
      <c r="E36" s="62"/>
      <c r="F36" s="62"/>
      <c r="G36" s="62"/>
      <c r="H36" s="62"/>
      <c r="I36" s="62"/>
      <c r="J36" s="62"/>
      <c r="K36" s="62"/>
      <c r="L36" s="62"/>
      <c r="M36" s="62"/>
      <c r="N36" s="62"/>
      <c r="O36" s="62"/>
      <c r="P36" s="62"/>
      <c r="Q36" s="62"/>
      <c r="T36" s="229" t="s">
        <v>421</v>
      </c>
      <c r="U36" s="358">
        <f>SUMIF('TS4500'!$F15:$Z15,"=LTO",'TS4500'!$F$16:$Z$16)</f>
        <v>0</v>
      </c>
      <c r="V36" s="355" t="s">
        <v>539</v>
      </c>
    </row>
    <row r="37" spans="1:24">
      <c r="A37" t="s">
        <v>405</v>
      </c>
      <c r="C37" s="62"/>
      <c r="D37" s="62">
        <f ca="1">IF((D36+INDEX(D44:D59,B41+1))&gt;16,0,IF(D32&gt;0,1,0))</f>
        <v>0</v>
      </c>
      <c r="E37" s="62"/>
      <c r="F37" s="62"/>
      <c r="G37" s="62"/>
      <c r="H37" s="62"/>
      <c r="I37" s="62"/>
      <c r="J37" s="62"/>
      <c r="K37" s="62"/>
      <c r="L37" s="62"/>
      <c r="M37" s="62"/>
      <c r="N37" s="62"/>
      <c r="O37" s="62"/>
      <c r="P37" s="62"/>
      <c r="Q37" s="62"/>
      <c r="T37" s="229" t="s">
        <v>421</v>
      </c>
      <c r="U37" s="356">
        <f>SUMIF('TS4500'!F15:Z15,"=3592",'TS4500'!F16:Z16)</f>
        <v>2730</v>
      </c>
      <c r="V37" s="355" t="s">
        <v>540</v>
      </c>
    </row>
    <row r="38" spans="1:24">
      <c r="A38" t="s">
        <v>406</v>
      </c>
      <c r="C38" s="62"/>
      <c r="D38" s="62">
        <f ca="1">IF((D36+INDEX(F44:F59,B42+1))&gt;16,0,IF(D33&gt;0,1,0))</f>
        <v>0</v>
      </c>
      <c r="E38" s="62"/>
      <c r="F38" s="62"/>
      <c r="G38" s="62"/>
      <c r="H38" s="62"/>
      <c r="I38" s="62"/>
      <c r="J38" s="62"/>
      <c r="K38" s="62"/>
      <c r="L38" s="62"/>
      <c r="M38" s="62"/>
      <c r="N38" s="62"/>
      <c r="O38" s="62"/>
      <c r="P38" s="62"/>
      <c r="Q38" s="62"/>
      <c r="T38" s="229" t="s">
        <v>421</v>
      </c>
      <c r="U38" s="357">
        <f>U37+U36</f>
        <v>2730</v>
      </c>
      <c r="V38" s="355" t="s">
        <v>541</v>
      </c>
    </row>
    <row r="39" spans="1:24">
      <c r="C39" s="62"/>
      <c r="D39" s="62"/>
      <c r="E39" s="62"/>
      <c r="F39" s="62"/>
      <c r="G39" s="62"/>
      <c r="H39" s="62"/>
      <c r="I39" s="62"/>
      <c r="J39" s="62"/>
      <c r="K39" s="62"/>
      <c r="L39" s="62"/>
      <c r="M39" s="62"/>
      <c r="N39" s="62"/>
      <c r="O39" s="62"/>
      <c r="P39" s="62"/>
      <c r="Q39" s="62"/>
      <c r="T39" s="229" t="s">
        <v>421</v>
      </c>
      <c r="V39" s="229"/>
    </row>
    <row r="40" spans="1:24" ht="49.75">
      <c r="A40" s="237" t="s">
        <v>234</v>
      </c>
      <c r="C40" s="138">
        <f t="shared" ref="C40:M40" ca="1" si="4">IF($D$36&gt;18,0,IF(OR(C41=1,C42=1),IF(AND($D32&gt;0,$D33&gt;0),3,IF($D32&gt;0,1,IF($D33&gt;0,2,0))),IF(AND($D37=1,$D38=1),3,IF($D37=1,1,IF($D38=1,2,0)))))</f>
        <v>0</v>
      </c>
      <c r="D40" s="138">
        <f t="shared" ca="1" si="4"/>
        <v>0</v>
      </c>
      <c r="E40" s="138">
        <f t="shared" ca="1" si="4"/>
        <v>0</v>
      </c>
      <c r="F40" s="138">
        <f t="shared" ca="1" si="4"/>
        <v>0</v>
      </c>
      <c r="G40" s="138">
        <f t="shared" ca="1" si="4"/>
        <v>0</v>
      </c>
      <c r="H40" s="138">
        <f t="shared" ca="1" si="4"/>
        <v>0</v>
      </c>
      <c r="I40" s="138">
        <f t="shared" ca="1" si="4"/>
        <v>0</v>
      </c>
      <c r="J40" s="138">
        <f t="shared" ca="1" si="4"/>
        <v>0</v>
      </c>
      <c r="K40" s="138">
        <f t="shared" ca="1" si="4"/>
        <v>0</v>
      </c>
      <c r="L40" s="138">
        <f t="shared" ca="1" si="4"/>
        <v>0</v>
      </c>
      <c r="M40" s="138">
        <f t="shared" ca="1" si="4"/>
        <v>0</v>
      </c>
      <c r="N40" s="138">
        <f t="shared" ref="N40:T40" ca="1" si="5">IF($D$36&gt;18,0,IF(OR(N41=1,N42=1),IF(AND($D32&gt;0,$D33&gt;0),3,IF($D32&gt;0,1,IF($D33&gt;0,2,0))),IF(AND($D37=1,$D38=1),3,IF($D37=1,1,IF($D38=1,2,0)))))</f>
        <v>0</v>
      </c>
      <c r="O40" s="138">
        <f t="shared" ca="1" si="5"/>
        <v>0</v>
      </c>
      <c r="P40" s="138">
        <f t="shared" ca="1" si="5"/>
        <v>0</v>
      </c>
      <c r="Q40" s="138">
        <f t="shared" ca="1" si="5"/>
        <v>0</v>
      </c>
      <c r="R40" s="138">
        <f t="shared" ca="1" si="5"/>
        <v>0</v>
      </c>
      <c r="S40" s="138">
        <f t="shared" ca="1" si="5"/>
        <v>0</v>
      </c>
      <c r="T40" s="138">
        <f t="shared" ca="1" si="5"/>
        <v>0</v>
      </c>
      <c r="V40" s="229" t="s">
        <v>421</v>
      </c>
    </row>
    <row r="41" spans="1:24">
      <c r="A41" s="11" t="s">
        <v>407</v>
      </c>
      <c r="B41" s="136">
        <f>SUM(D41:T41)</f>
        <v>0</v>
      </c>
      <c r="C41" s="62">
        <f>IF('TS4500'!F$6&lt;='TS4500'!$F$5, IF('TS4500'!F$7="S25",1,0), 0)</f>
        <v>0</v>
      </c>
      <c r="D41" s="62">
        <f>IF('TS4500'!J$6&lt;='TS4500'!$F$5, IF('TS4500'!J$7="S25",1,0), 0)</f>
        <v>0</v>
      </c>
      <c r="E41" s="62">
        <f>IF('TS4500'!K$6&lt;='TS4500'!$F$5, IF('TS4500'!K$7="S25",1,0), 0)</f>
        <v>0</v>
      </c>
      <c r="F41" s="62">
        <f>IF('TS4500'!L$6&lt;='TS4500'!$F$5, IF('TS4500'!L$7="S25",1,0), 0)</f>
        <v>0</v>
      </c>
      <c r="G41" s="62">
        <f>IF('TS4500'!M$6&lt;='TS4500'!$F$5, IF('TS4500'!M$7="S25",1,0), 0)</f>
        <v>0</v>
      </c>
      <c r="H41" s="62">
        <f>IF('TS4500'!N$6&lt;='TS4500'!$F$5, IF('TS4500'!N$7="S25",1,0), 0)</f>
        <v>0</v>
      </c>
      <c r="I41" s="62">
        <f>IF('TS4500'!O$6&lt;='TS4500'!$F$5, IF('TS4500'!O$7="S25",1,0), 0)</f>
        <v>0</v>
      </c>
      <c r="J41" s="62">
        <f>IF('TS4500'!P$6&lt;='TS4500'!$F$5, IF('TS4500'!P$7="S25",1,0), 0)</f>
        <v>0</v>
      </c>
      <c r="K41" s="62">
        <f>IF('TS4500'!Q$6&lt;='TS4500'!$F$5, IF('TS4500'!Q$7="S25",1,0), 0)</f>
        <v>0</v>
      </c>
      <c r="L41" s="62">
        <f>IF('TS4500'!R$6&lt;='TS4500'!$F$5, IF('TS4500'!R$7="S25",1,0), 0)</f>
        <v>0</v>
      </c>
      <c r="M41" s="62">
        <f>IF('TS4500'!S$6&lt;='TS4500'!$F$5, IF('TS4500'!S$7="S25",1,0), 0)</f>
        <v>0</v>
      </c>
      <c r="N41" s="62">
        <f>IF('TS4500'!T$6&lt;='TS4500'!$F$5, IF('TS4500'!T$7="S25",1,0), 0)</f>
        <v>0</v>
      </c>
      <c r="O41" s="62">
        <f>IF('TS4500'!U$6&lt;='TS4500'!$F$5, IF('TS4500'!U$7="S25",1,0), 0)</f>
        <v>0</v>
      </c>
      <c r="P41" s="62">
        <f>IF('TS4500'!V$6&lt;='TS4500'!$F$5, IF('TS4500'!V$7="S25",1,0), 0)</f>
        <v>0</v>
      </c>
      <c r="Q41" s="62">
        <f>IF('TS4500'!W$6&lt;='TS4500'!$F$5, IF('TS4500'!W$7="S25",1,0), 0)</f>
        <v>0</v>
      </c>
      <c r="R41" s="62">
        <f>IF('TS4500'!X$6&lt;='TS4500'!$F$5, IF('TS4500'!X$7="S25",1,0), 0)</f>
        <v>0</v>
      </c>
      <c r="S41" s="62">
        <f>IF('TS4500'!Y$6&lt;='TS4500'!$F$5, IF('TS4500'!Y$7="S25",1,0), 0)</f>
        <v>0</v>
      </c>
      <c r="T41" s="62">
        <f>IF('TS4500'!Z$6&lt;='TS4500'!$F$5, IF('TS4500'!Z$7="S25",1,0), 0)</f>
        <v>0</v>
      </c>
      <c r="V41" s="229" t="s">
        <v>421</v>
      </c>
    </row>
    <row r="42" spans="1:24" ht="12.9" thickBot="1">
      <c r="A42" s="11" t="s">
        <v>408</v>
      </c>
      <c r="B42" s="136">
        <f>SUM(D42:T42)</f>
        <v>0</v>
      </c>
      <c r="C42" s="62">
        <f>IF('TS4500'!F$6&lt;='TS4500'!$F$5, IF('TS4500'!F$7="S55",1,0), 0)</f>
        <v>0</v>
      </c>
      <c r="D42" s="62">
        <f>IF('TS4500'!J$6&lt;='TS4500'!$F$5, IF('TS4500'!J$7="S55",1,0), 0)</f>
        <v>0</v>
      </c>
      <c r="E42" s="62">
        <f>IF('TS4500'!K$6&lt;='TS4500'!$F$5, IF('TS4500'!K$7="S55",1,0), 0)</f>
        <v>0</v>
      </c>
      <c r="F42" s="62">
        <f>IF('TS4500'!L$6&lt;='TS4500'!$F$5, IF('TS4500'!L$7="S55",1,0), 0)</f>
        <v>0</v>
      </c>
      <c r="G42" s="62">
        <f>IF('TS4500'!M$6&lt;='TS4500'!$F$5, IF('TS4500'!M$7="S55",1,0), 0)</f>
        <v>0</v>
      </c>
      <c r="H42" s="62">
        <f>IF('TS4500'!N$6&lt;='TS4500'!$F$5, IF('TS4500'!N$7="S55",1,0), 0)</f>
        <v>0</v>
      </c>
      <c r="I42" s="62">
        <f>IF('TS4500'!O$6&lt;='TS4500'!$F$5, IF('TS4500'!O$7="S55",1,0), 0)</f>
        <v>0</v>
      </c>
      <c r="J42" s="62">
        <f>IF('TS4500'!P$6&lt;='TS4500'!$F$5, IF('TS4500'!P$7="S55",1,0), 0)</f>
        <v>0</v>
      </c>
      <c r="K42" s="62">
        <f>IF('TS4500'!Q$6&lt;='TS4500'!$F$5, IF('TS4500'!Q$7="S55",1,0), 0)</f>
        <v>0</v>
      </c>
      <c r="L42" s="62">
        <f>IF('TS4500'!R$6&lt;='TS4500'!$F$5, IF('TS4500'!R$7="S55",1,0), 0)</f>
        <v>0</v>
      </c>
      <c r="M42" s="62">
        <f>IF('TS4500'!S$6&lt;='TS4500'!$F$5, IF('TS4500'!S$7="S55",1,0), 0)</f>
        <v>0</v>
      </c>
      <c r="N42" s="62">
        <f>IF('TS4500'!T$6&lt;='TS4500'!$F$5, IF('TS4500'!T$7="S55",1,0), 0)</f>
        <v>0</v>
      </c>
      <c r="O42" s="62">
        <f>IF('TS4500'!U$6&lt;='TS4500'!$F$5, IF('TS4500'!U$7="S55",1,0), 0)</f>
        <v>0</v>
      </c>
      <c r="P42" s="62">
        <f>IF('TS4500'!V$6&lt;='TS4500'!$F$5, IF('TS4500'!V$7="S55",1,0), 0)</f>
        <v>0</v>
      </c>
      <c r="Q42" s="62">
        <f>IF('TS4500'!W$6&lt;='TS4500'!$F$5, IF('TS4500'!W$7="S55",1,0), 0)</f>
        <v>0</v>
      </c>
      <c r="R42" s="62">
        <f>IF('TS4500'!X$6&lt;='TS4500'!$F$5, IF('TS4500'!X$7="S55",1,0), 0)</f>
        <v>0</v>
      </c>
      <c r="S42" s="62">
        <f>IF('TS4500'!Y$6&lt;='TS4500'!$F$5, IF('TS4500'!Y$7="S55",1,0), 0)</f>
        <v>0</v>
      </c>
      <c r="T42" s="62">
        <f>IF('TS4500'!Z$6&lt;='TS4500'!$F$5, IF('TS4500'!Z$7="S55",1,0), 0)</f>
        <v>0</v>
      </c>
      <c r="V42" s="229" t="s">
        <v>421</v>
      </c>
    </row>
    <row r="43" spans="1:24" ht="12.9" thickBot="1">
      <c r="B43" s="102" t="s">
        <v>237</v>
      </c>
      <c r="C43" s="1238" t="s">
        <v>364</v>
      </c>
      <c r="D43" s="1239"/>
      <c r="E43" s="1240" t="s">
        <v>368</v>
      </c>
      <c r="F43" s="1241"/>
      <c r="G43" s="62"/>
      <c r="H43" s="62"/>
      <c r="I43" s="62"/>
      <c r="J43" s="62"/>
      <c r="K43" s="62"/>
      <c r="L43" s="62"/>
      <c r="M43" s="62"/>
      <c r="N43" s="62"/>
      <c r="O43" s="62"/>
      <c r="P43" s="62"/>
      <c r="Q43" s="62"/>
      <c r="V43" s="229" t="s">
        <v>421</v>
      </c>
    </row>
    <row r="44" spans="1:24">
      <c r="B44" s="13">
        <v>0</v>
      </c>
      <c r="C44" s="145">
        <v>0</v>
      </c>
      <c r="D44" s="146">
        <f t="shared" ref="D44:D49" si="6">C44-C45</f>
        <v>2</v>
      </c>
      <c r="E44" s="147">
        <v>0</v>
      </c>
      <c r="F44" s="148">
        <f t="shared" ref="F44:F49" si="7">E44-E45</f>
        <v>2</v>
      </c>
      <c r="G44" s="62"/>
      <c r="H44" s="62"/>
      <c r="I44" s="62"/>
      <c r="J44" s="62"/>
      <c r="K44" s="62"/>
      <c r="L44" s="62"/>
      <c r="M44" s="62"/>
      <c r="N44" s="62"/>
      <c r="O44" s="62"/>
      <c r="P44" s="62"/>
      <c r="Q44" s="62"/>
      <c r="V44" s="229" t="s">
        <v>421</v>
      </c>
    </row>
    <row r="45" spans="1:24">
      <c r="B45" s="15">
        <v>1</v>
      </c>
      <c r="C45" s="149">
        <v>-2</v>
      </c>
      <c r="D45" s="150">
        <f t="shared" si="6"/>
        <v>1</v>
      </c>
      <c r="E45" s="151">
        <v>-2</v>
      </c>
      <c r="F45" s="152">
        <f t="shared" si="7"/>
        <v>2</v>
      </c>
      <c r="G45" s="62"/>
      <c r="H45" s="62"/>
      <c r="I45" s="62"/>
      <c r="J45" s="62"/>
      <c r="K45" s="62"/>
      <c r="L45" s="62"/>
      <c r="M45" s="62"/>
      <c r="N45" s="62"/>
      <c r="O45" s="62"/>
      <c r="P45" s="62"/>
      <c r="Q45" s="62"/>
      <c r="V45" s="229" t="s">
        <v>421</v>
      </c>
    </row>
    <row r="46" spans="1:24">
      <c r="B46" s="15">
        <v>2</v>
      </c>
      <c r="C46" s="149">
        <v>-3</v>
      </c>
      <c r="D46" s="150">
        <f t="shared" si="6"/>
        <v>2</v>
      </c>
      <c r="E46" s="151">
        <v>-4</v>
      </c>
      <c r="F46" s="152">
        <f t="shared" si="7"/>
        <v>2</v>
      </c>
      <c r="G46" s="62"/>
      <c r="H46" s="62"/>
      <c r="I46" s="62"/>
      <c r="J46" s="62"/>
      <c r="K46" s="62"/>
      <c r="L46" s="62"/>
      <c r="M46" s="62"/>
      <c r="N46" s="62"/>
      <c r="O46" s="62"/>
      <c r="P46" s="62"/>
      <c r="Q46" s="62"/>
      <c r="V46" s="229" t="s">
        <v>421</v>
      </c>
    </row>
    <row r="47" spans="1:24">
      <c r="B47" s="15">
        <v>3</v>
      </c>
      <c r="C47" s="149">
        <v>-5</v>
      </c>
      <c r="D47" s="150">
        <f t="shared" si="6"/>
        <v>1</v>
      </c>
      <c r="E47" s="151">
        <v>-6</v>
      </c>
      <c r="F47" s="152">
        <f t="shared" si="7"/>
        <v>2</v>
      </c>
      <c r="G47" s="62"/>
      <c r="H47" s="62"/>
      <c r="I47" s="62"/>
      <c r="J47" s="62"/>
      <c r="K47" s="62"/>
      <c r="L47" s="62"/>
      <c r="M47" s="62"/>
      <c r="N47" s="62"/>
      <c r="O47" s="62"/>
      <c r="P47" s="62"/>
      <c r="Q47" s="62"/>
      <c r="V47" s="229" t="s">
        <v>421</v>
      </c>
    </row>
    <row r="48" spans="1:24">
      <c r="B48" s="15">
        <v>4</v>
      </c>
      <c r="C48" s="149">
        <v>-6</v>
      </c>
      <c r="D48" s="150">
        <f t="shared" si="6"/>
        <v>2</v>
      </c>
      <c r="E48" s="151">
        <v>-8</v>
      </c>
      <c r="F48" s="152">
        <f t="shared" si="7"/>
        <v>2</v>
      </c>
      <c r="G48" s="62"/>
      <c r="H48" s="62"/>
      <c r="I48" s="62"/>
      <c r="J48" s="62"/>
      <c r="K48" s="62"/>
      <c r="L48" s="62"/>
      <c r="M48" s="62"/>
      <c r="N48" s="62"/>
      <c r="O48" s="62"/>
      <c r="P48" s="62"/>
      <c r="Q48" s="62"/>
      <c r="V48" s="229" t="s">
        <v>421</v>
      </c>
    </row>
    <row r="49" spans="2:26">
      <c r="B49" s="15">
        <v>5</v>
      </c>
      <c r="C49" s="149">
        <v>-8</v>
      </c>
      <c r="D49" s="150">
        <f t="shared" si="6"/>
        <v>1</v>
      </c>
      <c r="E49" s="151">
        <v>-10</v>
      </c>
      <c r="F49" s="190">
        <f t="shared" si="7"/>
        <v>89</v>
      </c>
      <c r="G49" s="62"/>
      <c r="H49" s="62"/>
      <c r="I49" s="62"/>
      <c r="J49" s="62"/>
      <c r="K49" s="62"/>
      <c r="L49" s="62"/>
      <c r="M49" s="62"/>
      <c r="N49" s="62"/>
      <c r="O49" s="62"/>
      <c r="P49" s="62"/>
      <c r="Q49" s="62"/>
      <c r="V49" s="229" t="s">
        <v>421</v>
      </c>
    </row>
    <row r="50" spans="2:26">
      <c r="B50" s="15">
        <v>6</v>
      </c>
      <c r="C50" s="149">
        <v>-9</v>
      </c>
      <c r="D50" s="184">
        <f>C50-C59</f>
        <v>90</v>
      </c>
      <c r="E50" s="185">
        <v>-99</v>
      </c>
      <c r="F50" s="186">
        <v>89</v>
      </c>
      <c r="G50" s="62"/>
      <c r="H50" s="62"/>
      <c r="I50" s="62"/>
      <c r="J50" s="62"/>
      <c r="K50" s="62"/>
      <c r="L50" s="62"/>
      <c r="M50" s="62"/>
      <c r="N50" s="62"/>
      <c r="O50" s="62"/>
      <c r="P50" s="62"/>
      <c r="Q50" s="62"/>
      <c r="V50" s="229" t="s">
        <v>421</v>
      </c>
    </row>
    <row r="51" spans="2:26">
      <c r="B51" s="196">
        <v>7</v>
      </c>
      <c r="C51" s="194">
        <v>-99</v>
      </c>
      <c r="D51" s="184">
        <v>90</v>
      </c>
      <c r="E51" s="185">
        <v>-99</v>
      </c>
      <c r="F51" s="186">
        <v>89</v>
      </c>
      <c r="G51" s="62"/>
      <c r="H51" s="62"/>
      <c r="I51" s="62"/>
      <c r="J51" s="62"/>
      <c r="K51" s="62"/>
      <c r="L51" s="62"/>
      <c r="M51" s="62"/>
      <c r="N51" s="62"/>
      <c r="O51" s="62"/>
      <c r="P51" s="62"/>
      <c r="Q51" s="62"/>
      <c r="V51" s="229" t="s">
        <v>421</v>
      </c>
    </row>
    <row r="52" spans="2:26">
      <c r="B52" s="196">
        <v>8</v>
      </c>
      <c r="C52" s="194">
        <v>-99</v>
      </c>
      <c r="D52" s="184">
        <v>90</v>
      </c>
      <c r="E52" s="185">
        <v>-99</v>
      </c>
      <c r="F52" s="186">
        <v>89</v>
      </c>
      <c r="G52" s="62"/>
      <c r="H52" s="62"/>
      <c r="I52" s="62"/>
      <c r="J52" s="62"/>
      <c r="K52" s="62"/>
      <c r="L52" s="62"/>
      <c r="M52" s="62"/>
      <c r="N52" s="62"/>
      <c r="O52" s="62"/>
      <c r="P52" s="62"/>
      <c r="Q52" s="62"/>
      <c r="V52" s="229" t="s">
        <v>421</v>
      </c>
    </row>
    <row r="53" spans="2:26">
      <c r="B53" s="196">
        <v>9</v>
      </c>
      <c r="C53" s="194">
        <v>-99</v>
      </c>
      <c r="D53" s="184">
        <v>90</v>
      </c>
      <c r="E53" s="185">
        <v>-99</v>
      </c>
      <c r="F53" s="186">
        <v>89</v>
      </c>
      <c r="G53" s="62"/>
      <c r="H53" s="62"/>
      <c r="I53" s="62"/>
      <c r="J53" s="62"/>
      <c r="K53" s="62"/>
      <c r="L53" s="62"/>
      <c r="M53" s="62"/>
      <c r="N53" s="62"/>
      <c r="O53" s="62"/>
      <c r="P53" s="62"/>
      <c r="Q53" s="62"/>
      <c r="V53" s="229" t="s">
        <v>421</v>
      </c>
    </row>
    <row r="54" spans="2:26">
      <c r="B54" s="196">
        <v>10</v>
      </c>
      <c r="C54" s="194">
        <v>-99</v>
      </c>
      <c r="D54" s="184">
        <v>90</v>
      </c>
      <c r="E54" s="185">
        <v>-99</v>
      </c>
      <c r="F54" s="186">
        <v>89</v>
      </c>
      <c r="G54" s="62"/>
      <c r="H54" s="62"/>
      <c r="I54" s="62"/>
      <c r="J54" s="62"/>
      <c r="K54" s="62"/>
      <c r="L54" s="62"/>
      <c r="M54" s="62"/>
      <c r="N54" s="62"/>
      <c r="O54" s="62"/>
      <c r="P54" s="62"/>
      <c r="Q54" s="62"/>
      <c r="V54" s="229" t="s">
        <v>421</v>
      </c>
    </row>
    <row r="55" spans="2:26">
      <c r="B55" s="196">
        <v>11</v>
      </c>
      <c r="C55" s="194">
        <v>-99</v>
      </c>
      <c r="D55" s="184">
        <v>90</v>
      </c>
      <c r="E55" s="185">
        <v>-99</v>
      </c>
      <c r="F55" s="186">
        <v>89</v>
      </c>
      <c r="G55" s="62"/>
      <c r="H55" s="62"/>
      <c r="I55" s="62"/>
      <c r="J55" s="62"/>
      <c r="K55" s="62"/>
      <c r="L55" s="62"/>
      <c r="M55" s="62"/>
      <c r="N55" s="62"/>
      <c r="O55" s="62"/>
      <c r="P55" s="62"/>
      <c r="Q55" s="62"/>
      <c r="V55" s="229" t="s">
        <v>421</v>
      </c>
    </row>
    <row r="56" spans="2:26">
      <c r="B56" s="196">
        <v>12</v>
      </c>
      <c r="C56" s="194">
        <v>-99</v>
      </c>
      <c r="D56" s="184">
        <v>90</v>
      </c>
      <c r="E56" s="185">
        <v>-99</v>
      </c>
      <c r="F56" s="186">
        <v>89</v>
      </c>
      <c r="G56" s="62"/>
      <c r="H56" s="62"/>
      <c r="I56" s="62"/>
      <c r="J56" s="62"/>
      <c r="K56" s="62"/>
      <c r="L56" s="62"/>
      <c r="M56" s="62"/>
      <c r="N56" s="62"/>
      <c r="O56" s="62"/>
      <c r="P56" s="62"/>
      <c r="Q56" s="62"/>
      <c r="V56" s="229" t="s">
        <v>421</v>
      </c>
    </row>
    <row r="57" spans="2:26">
      <c r="B57" s="196">
        <v>13</v>
      </c>
      <c r="C57" s="194">
        <v>-99</v>
      </c>
      <c r="D57" s="184">
        <v>90</v>
      </c>
      <c r="E57" s="185">
        <v>-99</v>
      </c>
      <c r="F57" s="186">
        <v>89</v>
      </c>
      <c r="G57" s="62"/>
      <c r="H57" s="62"/>
      <c r="I57" s="62"/>
      <c r="J57" s="62"/>
      <c r="K57" s="62"/>
      <c r="L57" s="62"/>
      <c r="M57" s="62"/>
      <c r="N57" s="62"/>
      <c r="O57" s="62"/>
      <c r="P57" s="62"/>
      <c r="Q57" s="62"/>
      <c r="V57" s="229" t="s">
        <v>421</v>
      </c>
    </row>
    <row r="58" spans="2:26">
      <c r="B58" s="196">
        <v>14</v>
      </c>
      <c r="C58" s="194">
        <v>-99</v>
      </c>
      <c r="D58" s="184">
        <v>90</v>
      </c>
      <c r="E58" s="185">
        <v>-99</v>
      </c>
      <c r="F58" s="186">
        <v>89</v>
      </c>
      <c r="G58" s="62"/>
      <c r="H58" s="62"/>
      <c r="I58" s="62"/>
      <c r="J58" s="62"/>
      <c r="K58" s="62"/>
      <c r="L58" s="62"/>
      <c r="M58" s="62"/>
      <c r="N58" s="62"/>
      <c r="O58" s="62"/>
      <c r="P58" s="62"/>
      <c r="Q58" s="62"/>
      <c r="V58" s="229" t="s">
        <v>421</v>
      </c>
    </row>
    <row r="59" spans="2:26" ht="12.9" thickBot="1">
      <c r="B59" s="183">
        <v>15</v>
      </c>
      <c r="C59" s="195">
        <v>-99</v>
      </c>
      <c r="D59" s="187"/>
      <c r="E59" s="188">
        <v>-99</v>
      </c>
      <c r="F59" s="189"/>
      <c r="G59" s="62"/>
      <c r="H59" s="62"/>
      <c r="I59" s="62"/>
      <c r="J59" s="62"/>
      <c r="K59" s="62"/>
      <c r="L59" s="62"/>
      <c r="M59" s="62"/>
      <c r="N59" s="62"/>
      <c r="O59" s="62"/>
      <c r="P59" s="62"/>
      <c r="Q59" s="62"/>
      <c r="V59" s="229" t="s">
        <v>421</v>
      </c>
    </row>
    <row r="60" spans="2:26">
      <c r="C60" s="4"/>
      <c r="D60" s="4"/>
      <c r="V60" s="229" t="s">
        <v>421</v>
      </c>
    </row>
    <row r="61" spans="2:26" ht="12.9" thickBot="1">
      <c r="B61" s="6" t="s">
        <v>148</v>
      </c>
      <c r="C61" s="4"/>
      <c r="D61" s="4"/>
      <c r="Z61" s="229"/>
    </row>
    <row r="62" spans="2:26" ht="12.9" thickBot="1">
      <c r="B62" s="13"/>
      <c r="C62" s="14"/>
      <c r="D62" s="1254" t="s">
        <v>146</v>
      </c>
      <c r="E62" s="1234"/>
      <c r="F62" s="1234"/>
      <c r="G62" s="1234"/>
      <c r="H62" s="1234"/>
      <c r="I62" s="1234"/>
      <c r="J62" s="1234"/>
      <c r="K62" s="1235"/>
      <c r="L62" s="1234" t="s">
        <v>147</v>
      </c>
      <c r="M62" s="1234"/>
      <c r="N62" s="1234"/>
      <c r="O62" s="1234"/>
      <c r="P62" s="1234"/>
      <c r="Q62" s="1234"/>
      <c r="R62" s="1234"/>
      <c r="S62" s="1234"/>
      <c r="T62" s="1234"/>
      <c r="U62" s="1235"/>
      <c r="Z62" s="229"/>
    </row>
    <row r="63" spans="2:26">
      <c r="B63" s="15"/>
      <c r="C63" s="4"/>
      <c r="D63" s="1247" t="s">
        <v>144</v>
      </c>
      <c r="E63" s="1234" t="s">
        <v>141</v>
      </c>
      <c r="F63" s="1234"/>
      <c r="G63" s="1234"/>
      <c r="H63" s="1217" t="s">
        <v>132</v>
      </c>
      <c r="I63" s="1217" t="s">
        <v>133</v>
      </c>
      <c r="J63" s="1217" t="s">
        <v>136</v>
      </c>
      <c r="K63" s="1220" t="s">
        <v>137</v>
      </c>
      <c r="L63" s="1200" t="s">
        <v>145</v>
      </c>
      <c r="M63" s="1234" t="s">
        <v>1</v>
      </c>
      <c r="N63" s="1234"/>
      <c r="O63" s="1234"/>
      <c r="P63" s="1234"/>
      <c r="Q63" s="1234"/>
      <c r="R63" s="238"/>
      <c r="S63" s="1217" t="s">
        <v>5</v>
      </c>
      <c r="T63" s="250"/>
      <c r="U63" s="1220" t="s">
        <v>135</v>
      </c>
    </row>
    <row r="64" spans="2:26">
      <c r="B64" s="15"/>
      <c r="C64" s="4"/>
      <c r="D64" s="1248"/>
      <c r="E64" s="1231" t="s">
        <v>134</v>
      </c>
      <c r="F64" s="1232"/>
      <c r="G64" s="1233"/>
      <c r="H64" s="1218"/>
      <c r="I64" s="1218"/>
      <c r="J64" s="1218"/>
      <c r="K64" s="1221"/>
      <c r="L64" s="1201"/>
      <c r="M64" s="1231" t="s">
        <v>134</v>
      </c>
      <c r="N64" s="1232"/>
      <c r="O64" s="1232"/>
      <c r="P64" s="1232"/>
      <c r="Q64" s="1233"/>
      <c r="R64" s="247"/>
      <c r="S64" s="1218"/>
      <c r="T64" s="251"/>
      <c r="U64" s="1221"/>
    </row>
    <row r="65" spans="2:21" ht="12.9" thickBot="1">
      <c r="B65" s="15"/>
      <c r="C65" s="4"/>
      <c r="D65" s="1249"/>
      <c r="E65" s="23" t="s">
        <v>23</v>
      </c>
      <c r="F65" s="30">
        <v>10</v>
      </c>
      <c r="G65" s="23">
        <v>30</v>
      </c>
      <c r="H65" s="1219"/>
      <c r="I65" s="1219"/>
      <c r="J65" s="1219"/>
      <c r="K65" s="1222"/>
      <c r="L65" s="1202"/>
      <c r="M65" s="23" t="s">
        <v>23</v>
      </c>
      <c r="N65" s="23"/>
      <c r="O65" s="30">
        <v>10</v>
      </c>
      <c r="P65" s="23"/>
      <c r="Q65" s="23">
        <v>30</v>
      </c>
      <c r="R65" s="23"/>
      <c r="S65" s="1219"/>
      <c r="T65" s="252"/>
      <c r="U65" s="1222"/>
    </row>
    <row r="66" spans="2:21" ht="13.4" customHeight="1">
      <c r="B66" s="1255" t="s">
        <v>143</v>
      </c>
      <c r="C66" s="1256"/>
      <c r="D66" s="28">
        <v>0</v>
      </c>
      <c r="E66" s="17">
        <v>240</v>
      </c>
      <c r="F66" s="24">
        <f>E66-30</f>
        <v>210</v>
      </c>
      <c r="G66" s="17">
        <f>E66-80</f>
        <v>160</v>
      </c>
      <c r="H66" s="24">
        <v>400</v>
      </c>
      <c r="I66" s="24">
        <v>400</v>
      </c>
      <c r="J66" s="24">
        <v>400</v>
      </c>
      <c r="K66" s="18">
        <v>400</v>
      </c>
      <c r="L66" s="28">
        <v>0</v>
      </c>
      <c r="M66" s="17">
        <v>240</v>
      </c>
      <c r="N66" s="17"/>
      <c r="O66" s="24">
        <f>M66-30</f>
        <v>210</v>
      </c>
      <c r="P66" s="24"/>
      <c r="Q66" s="24">
        <f>M66-80</f>
        <v>160</v>
      </c>
      <c r="R66" s="24"/>
      <c r="S66" s="24">
        <v>400</v>
      </c>
      <c r="T66" s="17"/>
      <c r="U66" s="18">
        <v>400</v>
      </c>
    </row>
    <row r="67" spans="2:21">
      <c r="B67" s="1244"/>
      <c r="C67" s="1243"/>
      <c r="D67" s="48" t="s">
        <v>138</v>
      </c>
      <c r="E67" s="49">
        <v>240</v>
      </c>
      <c r="F67" s="43">
        <v>210</v>
      </c>
      <c r="G67" s="49">
        <v>160</v>
      </c>
      <c r="H67" s="53"/>
      <c r="I67" s="43">
        <v>300</v>
      </c>
      <c r="J67" s="43">
        <v>335</v>
      </c>
      <c r="K67" s="51">
        <v>345</v>
      </c>
      <c r="L67" s="52" t="s">
        <v>9</v>
      </c>
      <c r="M67" s="49">
        <v>240</v>
      </c>
      <c r="N67" s="49"/>
      <c r="O67" s="43">
        <v>210</v>
      </c>
      <c r="P67" s="43"/>
      <c r="Q67" s="43">
        <v>160</v>
      </c>
      <c r="R67" s="43"/>
      <c r="S67" s="43">
        <v>335</v>
      </c>
      <c r="T67" s="49"/>
      <c r="U67" s="51">
        <v>345</v>
      </c>
    </row>
    <row r="68" spans="2:21">
      <c r="B68" s="1244"/>
      <c r="C68" s="1243"/>
      <c r="D68" s="19" t="s">
        <v>139</v>
      </c>
      <c r="E68" s="44"/>
      <c r="F68" s="25"/>
      <c r="G68" s="45"/>
      <c r="H68" s="25"/>
      <c r="I68" s="25"/>
      <c r="J68" s="26">
        <v>290</v>
      </c>
      <c r="K68" s="16">
        <v>305</v>
      </c>
      <c r="L68" s="21" t="s">
        <v>7</v>
      </c>
      <c r="M68" s="44"/>
      <c r="N68" s="254"/>
      <c r="O68" s="25"/>
      <c r="P68" s="25"/>
      <c r="Q68" s="25"/>
      <c r="R68" s="26"/>
      <c r="S68" s="26">
        <v>290</v>
      </c>
      <c r="U68" s="16">
        <v>305</v>
      </c>
    </row>
    <row r="69" spans="2:21" ht="12.9" thickBot="1">
      <c r="B69" s="1245"/>
      <c r="C69" s="1246"/>
      <c r="D69" s="20" t="s">
        <v>140</v>
      </c>
      <c r="E69" s="46"/>
      <c r="F69" s="27"/>
      <c r="G69" s="47"/>
      <c r="H69" s="27"/>
      <c r="I69" s="27"/>
      <c r="J69" s="55">
        <v>250</v>
      </c>
      <c r="K69" s="56"/>
      <c r="L69" s="22" t="s">
        <v>8</v>
      </c>
      <c r="M69" s="46"/>
      <c r="N69" s="255"/>
      <c r="O69" s="27"/>
      <c r="P69" s="27"/>
      <c r="Q69" s="27"/>
      <c r="R69" s="248"/>
      <c r="S69" s="55">
        <v>250</v>
      </c>
      <c r="T69" s="253"/>
      <c r="U69" s="57"/>
    </row>
    <row r="70" spans="2:21" ht="13.4" customHeight="1">
      <c r="B70" s="1242" t="s">
        <v>142</v>
      </c>
      <c r="C70" s="1243"/>
      <c r="D70" s="29">
        <v>0</v>
      </c>
      <c r="E70">
        <v>216</v>
      </c>
      <c r="F70" s="26">
        <f>E70-26</f>
        <v>190</v>
      </c>
      <c r="G70">
        <f>E70-72</f>
        <v>144</v>
      </c>
      <c r="H70" s="26">
        <v>360</v>
      </c>
      <c r="I70" s="26">
        <v>360</v>
      </c>
      <c r="J70" s="26">
        <v>360</v>
      </c>
      <c r="K70" s="16">
        <v>360</v>
      </c>
      <c r="L70" s="29">
        <v>0</v>
      </c>
      <c r="M70">
        <v>216</v>
      </c>
      <c r="O70" s="26">
        <v>190</v>
      </c>
      <c r="P70" s="26"/>
      <c r="Q70" s="26">
        <v>144</v>
      </c>
      <c r="R70" s="26"/>
      <c r="S70" s="26">
        <v>360</v>
      </c>
      <c r="U70" s="16">
        <v>360</v>
      </c>
    </row>
    <row r="71" spans="2:21">
      <c r="B71" s="1244"/>
      <c r="C71" s="1243"/>
      <c r="D71" s="19" t="s">
        <v>138</v>
      </c>
      <c r="E71" s="54">
        <v>216</v>
      </c>
      <c r="F71" s="43">
        <v>190</v>
      </c>
      <c r="G71" s="49">
        <v>144</v>
      </c>
      <c r="H71" s="50"/>
      <c r="I71" s="43">
        <v>270</v>
      </c>
      <c r="J71" s="43">
        <v>305</v>
      </c>
      <c r="K71" s="51">
        <v>305</v>
      </c>
      <c r="L71" s="52" t="s">
        <v>9</v>
      </c>
      <c r="M71" s="49">
        <v>216</v>
      </c>
      <c r="N71" s="49"/>
      <c r="O71" s="43">
        <v>190</v>
      </c>
      <c r="P71" s="43"/>
      <c r="Q71" s="43">
        <v>144</v>
      </c>
      <c r="R71" s="43"/>
      <c r="S71" s="43">
        <v>305</v>
      </c>
      <c r="T71" s="49"/>
      <c r="U71" s="51">
        <v>305</v>
      </c>
    </row>
    <row r="72" spans="2:21">
      <c r="B72" s="1244"/>
      <c r="C72" s="1243"/>
      <c r="D72" s="19" t="s">
        <v>139</v>
      </c>
      <c r="E72" s="44"/>
      <c r="F72" s="25"/>
      <c r="G72" s="45"/>
      <c r="H72" s="25"/>
      <c r="I72" s="25"/>
      <c r="J72" s="26">
        <v>260</v>
      </c>
      <c r="K72" s="16">
        <v>275</v>
      </c>
      <c r="L72" s="21" t="s">
        <v>7</v>
      </c>
      <c r="M72" s="44"/>
      <c r="N72" s="254"/>
      <c r="O72" s="25"/>
      <c r="P72" s="25"/>
      <c r="Q72" s="25"/>
      <c r="R72" s="26"/>
      <c r="S72" s="26">
        <v>260</v>
      </c>
      <c r="U72" s="16">
        <v>275</v>
      </c>
    </row>
    <row r="73" spans="2:21" ht="12.9" thickBot="1">
      <c r="B73" s="1245"/>
      <c r="C73" s="1246"/>
      <c r="D73" s="20" t="s">
        <v>140</v>
      </c>
      <c r="E73" s="46"/>
      <c r="F73" s="27"/>
      <c r="G73" s="47"/>
      <c r="H73" s="27"/>
      <c r="I73" s="27"/>
      <c r="J73" s="55">
        <v>230</v>
      </c>
      <c r="K73" s="56"/>
      <c r="L73" s="22" t="s">
        <v>8</v>
      </c>
      <c r="M73" s="46"/>
      <c r="N73" s="255"/>
      <c r="O73" s="27"/>
      <c r="P73" s="27"/>
      <c r="Q73" s="27"/>
      <c r="R73" s="248"/>
      <c r="S73" s="55">
        <v>230</v>
      </c>
      <c r="T73" s="253"/>
      <c r="U73" s="57"/>
    </row>
    <row r="75" spans="2:21">
      <c r="B75" s="1375" t="s">
        <v>471</v>
      </c>
      <c r="C75" s="1376"/>
      <c r="D75" s="1376"/>
      <c r="E75" s="1377"/>
    </row>
    <row r="76" spans="2:21">
      <c r="B76" s="299"/>
      <c r="C76" s="300" t="s">
        <v>469</v>
      </c>
      <c r="D76" s="1378" t="s">
        <v>470</v>
      </c>
      <c r="E76" s="1378"/>
    </row>
    <row r="77" spans="2:21">
      <c r="B77" s="43" t="s">
        <v>346</v>
      </c>
      <c r="C77" s="301">
        <f>586.5+C83</f>
        <v>611</v>
      </c>
      <c r="D77" s="1373">
        <f>630.5+D83</f>
        <v>655</v>
      </c>
      <c r="E77" s="1373"/>
    </row>
    <row r="78" spans="2:21">
      <c r="B78" s="43" t="s">
        <v>345</v>
      </c>
      <c r="C78" s="301">
        <f>592+C83</f>
        <v>616.5</v>
      </c>
      <c r="D78" s="1373">
        <f>637+D83</f>
        <v>661.5</v>
      </c>
      <c r="E78" s="1373"/>
    </row>
    <row r="79" spans="2:21">
      <c r="B79" s="43" t="s">
        <v>363</v>
      </c>
      <c r="C79" s="301">
        <f>500+C83</f>
        <v>524.5</v>
      </c>
      <c r="D79" s="1373">
        <f>552.5+D83</f>
        <v>577</v>
      </c>
      <c r="E79" s="1373"/>
    </row>
    <row r="80" spans="2:21">
      <c r="B80" s="43" t="s">
        <v>362</v>
      </c>
      <c r="C80" s="301">
        <f>503.5+C83</f>
        <v>528</v>
      </c>
      <c r="D80" s="1373">
        <f>557+D83</f>
        <v>581.5</v>
      </c>
      <c r="E80" s="1373"/>
    </row>
    <row r="81" spans="2:5">
      <c r="B81" s="43" t="s">
        <v>364</v>
      </c>
      <c r="C81" s="301">
        <f>491.5+C83</f>
        <v>516</v>
      </c>
      <c r="D81" s="1373">
        <f>540.5+D83</f>
        <v>565</v>
      </c>
      <c r="E81" s="1373"/>
    </row>
    <row r="82" spans="2:5">
      <c r="B82" s="43" t="s">
        <v>368</v>
      </c>
      <c r="C82" s="301">
        <f>509.5+C83</f>
        <v>534</v>
      </c>
      <c r="D82" s="1373">
        <f>564+D83</f>
        <v>588.5</v>
      </c>
      <c r="E82" s="1373"/>
    </row>
    <row r="83" spans="2:5">
      <c r="B83" s="302" t="s">
        <v>468</v>
      </c>
      <c r="C83" s="303">
        <v>24.5</v>
      </c>
      <c r="D83" s="1374">
        <v>24.5</v>
      </c>
      <c r="E83" s="1374"/>
    </row>
  </sheetData>
  <mergeCells count="76">
    <mergeCell ref="D82:E82"/>
    <mergeCell ref="D83:E83"/>
    <mergeCell ref="B66:C69"/>
    <mergeCell ref="B70:C73"/>
    <mergeCell ref="B75:E75"/>
    <mergeCell ref="D76:E76"/>
    <mergeCell ref="D77:E77"/>
    <mergeCell ref="D78:E78"/>
    <mergeCell ref="D79:E79"/>
    <mergeCell ref="Q11:Q12"/>
    <mergeCell ref="N3:O3"/>
    <mergeCell ref="D80:E80"/>
    <mergeCell ref="M63:Q63"/>
    <mergeCell ref="D81:E81"/>
    <mergeCell ref="U63:U65"/>
    <mergeCell ref="E64:G64"/>
    <mergeCell ref="M64:Q64"/>
    <mergeCell ref="C43:D43"/>
    <mergeCell ref="E43:F43"/>
    <mergeCell ref="D62:K62"/>
    <mergeCell ref="L62:U62"/>
    <mergeCell ref="D63:D65"/>
    <mergeCell ref="E63:G63"/>
    <mergeCell ref="H63:H65"/>
    <mergeCell ref="I63:I65"/>
    <mergeCell ref="J63:J65"/>
    <mergeCell ref="K63:K65"/>
    <mergeCell ref="L63:L65"/>
    <mergeCell ref="S63:S65"/>
    <mergeCell ref="B9:C9"/>
    <mergeCell ref="B10:C10"/>
    <mergeCell ref="R4:R6"/>
    <mergeCell ref="L4:L6"/>
    <mergeCell ref="L3:M3"/>
    <mergeCell ref="B7:C7"/>
    <mergeCell ref="B8:C8"/>
    <mergeCell ref="P3:P6"/>
    <mergeCell ref="R3:S3"/>
    <mergeCell ref="N4:N6"/>
    <mergeCell ref="B4:C6"/>
    <mergeCell ref="D4:D6"/>
    <mergeCell ref="E4:F5"/>
    <mergeCell ref="G4:I4"/>
    <mergeCell ref="P7:P8"/>
    <mergeCell ref="Q7:Q8"/>
    <mergeCell ref="B13:C13"/>
    <mergeCell ref="B14:C14"/>
    <mergeCell ref="T4:T6"/>
    <mergeCell ref="E2:K2"/>
    <mergeCell ref="Q2:U2"/>
    <mergeCell ref="E3:F3"/>
    <mergeCell ref="G3:K3"/>
    <mergeCell ref="Q3:Q6"/>
    <mergeCell ref="M4:M6"/>
    <mergeCell ref="O4:O6"/>
    <mergeCell ref="S4:S6"/>
    <mergeCell ref="U4:U6"/>
    <mergeCell ref="H5:I5"/>
    <mergeCell ref="T3:U3"/>
    <mergeCell ref="J4:K5"/>
    <mergeCell ref="L2:P2"/>
    <mergeCell ref="W19:X19"/>
    <mergeCell ref="W20:X20"/>
    <mergeCell ref="W5:Z5"/>
    <mergeCell ref="W16:X16"/>
    <mergeCell ref="W17:X17"/>
    <mergeCell ref="W18:X18"/>
    <mergeCell ref="W6:X6"/>
    <mergeCell ref="W7:X7"/>
    <mergeCell ref="W8:X8"/>
    <mergeCell ref="W9:X9"/>
    <mergeCell ref="W10:X10"/>
    <mergeCell ref="W11:X11"/>
    <mergeCell ref="W12:X12"/>
    <mergeCell ref="W13:X13"/>
    <mergeCell ref="W14:X14"/>
  </mergeCells>
  <pageMargins left="0.7" right="0.7" top="0.75" bottom="0.75" header="0.3" footer="0.3"/>
  <pageSetup paperSize="9" orientation="portrait"/>
  <ignoredErrors>
    <ignoredError sqref="E3 R3 L3" numberStoredAsText="1"/>
    <ignoredError sqref="U29" formula="1"/>
  </ignoredError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J609"/>
  <sheetViews>
    <sheetView workbookViewId="0">
      <selection activeCell="J14" sqref="J14"/>
    </sheetView>
  </sheetViews>
  <sheetFormatPr baseColWidth="10" defaultColWidth="9.07421875" defaultRowHeight="12.45"/>
  <cols>
    <col min="1" max="1" width="9.07421875" style="153"/>
    <col min="2" max="2" width="30.84375" style="153" bestFit="1" customWidth="1"/>
    <col min="3" max="3" width="37.4609375" style="10" customWidth="1"/>
    <col min="4" max="9" width="9.07421875" style="153"/>
    <col min="10" max="10" width="15.69140625" style="10" customWidth="1"/>
    <col min="11" max="16384" width="9.07421875" style="153"/>
  </cols>
  <sheetData>
    <row r="2" spans="2:10">
      <c r="B2" s="154" t="s">
        <v>411</v>
      </c>
      <c r="C2" s="155" t="s">
        <v>343</v>
      </c>
      <c r="F2" s="168"/>
      <c r="G2" s="168"/>
      <c r="H2" s="168"/>
      <c r="I2" s="168"/>
    </row>
    <row r="3" spans="2:10">
      <c r="B3" s="163"/>
      <c r="C3" s="160" t="s">
        <v>345</v>
      </c>
      <c r="E3" s="168"/>
      <c r="G3" s="168"/>
      <c r="H3" s="168"/>
      <c r="I3" s="168"/>
    </row>
    <row r="4" spans="2:10">
      <c r="B4" s="163"/>
      <c r="C4" s="160" t="s">
        <v>344</v>
      </c>
      <c r="I4" s="168"/>
    </row>
    <row r="5" spans="2:10">
      <c r="B5" s="165"/>
      <c r="C5" s="166" t="s">
        <v>346</v>
      </c>
      <c r="E5" s="168"/>
      <c r="F5" s="168"/>
      <c r="G5" s="168"/>
      <c r="H5" s="168"/>
      <c r="I5" s="168"/>
    </row>
    <row r="6" spans="2:10" ht="13.4" customHeight="1">
      <c r="E6" s="168"/>
      <c r="F6" s="168"/>
      <c r="G6" s="168"/>
      <c r="H6" s="168"/>
      <c r="I6" s="168"/>
    </row>
    <row r="7" spans="2:10" ht="13.4" customHeight="1">
      <c r="B7" s="1382" t="s">
        <v>389</v>
      </c>
      <c r="C7" s="225" t="str">
        <f ca="1">IF('TS4500'!$F$8=$C$122,INDEX(indirectDSframesList4500,Table4500!$D$40+1),INDEX(indirectDSframesList4500, Table4500!$D$34+1))</f>
        <v>LandDandAllSframes4500</v>
      </c>
      <c r="E7" s="168"/>
      <c r="F7" s="168"/>
      <c r="G7" s="168"/>
      <c r="H7" s="168"/>
      <c r="I7" s="168"/>
    </row>
    <row r="8" spans="2:10" ht="13.4" customHeight="1">
      <c r="B8" s="1383"/>
      <c r="C8" s="226" t="str">
        <f ca="1">IF('TS4500'!$F$8=$C$122,INDEX(indirectDSframesList4500,Table4500!$E$40+1),INDEX(indirectDSframesList4500, Table4500!$D$34+1))</f>
        <v>LandDandAllSframes4500</v>
      </c>
    </row>
    <row r="9" spans="2:10" ht="13.4" customHeight="1">
      <c r="B9" s="1383"/>
      <c r="C9" s="226" t="str">
        <f ca="1">IF('TS4500'!$F$8=$C$122,INDEX(indirectDSframesList4500,Table4500!$F$40+1),INDEX(indirectDSframesList4500, Table4500!$D$34+1))</f>
        <v>LandDandAllSframes4500</v>
      </c>
    </row>
    <row r="10" spans="2:10" ht="13.4" customHeight="1">
      <c r="B10" s="1383"/>
      <c r="C10" s="226" t="str">
        <f ca="1">IF('TS4500'!$F$8=$C$122,INDEX(indirectDSframesList4500,Table4500!$G$40+1),INDEX(indirectDSframesList4500, Table4500!$D$34+1))</f>
        <v>LandDandAllSframes4500</v>
      </c>
    </row>
    <row r="11" spans="2:10" ht="13.4" customHeight="1">
      <c r="B11" s="1383"/>
      <c r="C11" s="226" t="str">
        <f ca="1">IF('TS4500'!$F$8=$C$122,INDEX(indirectDSframesList4500,Table4500!$H$40+1),INDEX(indirectDSframesList4500, Table4500!$D$34+1))</f>
        <v>LandDandAllSframes4500</v>
      </c>
    </row>
    <row r="12" spans="2:10" ht="13.4" customHeight="1">
      <c r="B12" s="1383"/>
      <c r="C12" s="226" t="str">
        <f ca="1">IF('TS4500'!$F$8=$C$122,INDEX(indirectDSframesList4500,Table4500!$I$40+1),INDEX(indirectDSframesList4500, Table4500!$D$34+1))</f>
        <v>LandDandAllSframes4500</v>
      </c>
      <c r="H12" s="168"/>
      <c r="I12" s="168"/>
    </row>
    <row r="13" spans="2:10" ht="13.4" customHeight="1">
      <c r="B13" s="1383"/>
      <c r="C13" s="226" t="str">
        <f ca="1">IF('TS4500'!$F$8=$C$122,INDEX(indirectDSframesList4500,Table4500!$J$40+1),INDEX(indirectDSframesList4500, Table4500!$D$34+1))</f>
        <v>LandDandAllSframes4500</v>
      </c>
      <c r="H13" s="168"/>
      <c r="I13" s="168"/>
    </row>
    <row r="14" spans="2:10" ht="13.4" customHeight="1">
      <c r="B14" s="1383"/>
      <c r="C14" s="226" t="str">
        <f ca="1">IF('TS4500'!$F$8=$C$122,INDEX(indirectDSframesList4500,Table4500!$K$40+1),INDEX(indirectDSframesList4500, Table4500!$D$34+1))</f>
        <v>LandDandAllSframes4500</v>
      </c>
      <c r="J14" s="153"/>
    </row>
    <row r="15" spans="2:10" ht="13.4" customHeight="1">
      <c r="B15" s="1383"/>
      <c r="C15" s="226" t="str">
        <f ca="1">IF('TS4500'!$F$8=$C$122,INDEX(indirectDSframesList4500,Table4500!$L$40+1),INDEX(indirectDSframesList4500, Table4500!$D$34+1))</f>
        <v>LandDandAllSframes4500</v>
      </c>
      <c r="H15" s="168"/>
      <c r="I15" s="168"/>
    </row>
    <row r="16" spans="2:10" ht="13.4" customHeight="1">
      <c r="B16" s="1383"/>
      <c r="C16" s="226" t="str">
        <f ca="1">IF('TS4500'!$F$8=$C$122,INDEX(indirectDSframesList4500,Table4500!$M$40+1),INDEX(indirectDSframesList4500, Table4500!$D$34+1))</f>
        <v>LandDandAllSframes4500</v>
      </c>
      <c r="H16" s="168"/>
      <c r="I16" s="168"/>
    </row>
    <row r="17" spans="2:10" ht="13.4" customHeight="1">
      <c r="B17" s="1383"/>
      <c r="C17" s="226" t="str">
        <f ca="1">IF('TS4500'!$F$8=$C$122,INDEX(indirectDSframesList4500,Table4500!$N$40+1),INDEX(indirectDSframesList4500, Table4500!$D$34+1))</f>
        <v>LandDandAllSframes4500</v>
      </c>
      <c r="E17" s="168"/>
      <c r="F17" s="168"/>
      <c r="G17" s="168"/>
      <c r="H17" s="168"/>
      <c r="I17" s="168"/>
    </row>
    <row r="18" spans="2:10" ht="13.4" customHeight="1">
      <c r="B18" s="1383"/>
      <c r="C18" s="226" t="str">
        <f ca="1">IF('TS4500'!$F$8=$C$122,INDEX(indirectDSframesList4500,Table4500!$O$40+1),INDEX(indirectDSframesList4500, Table4500!$D$34+1))</f>
        <v>LandDandAllSframes4500</v>
      </c>
      <c r="E18" s="168"/>
      <c r="F18" s="168"/>
      <c r="G18" s="168"/>
      <c r="H18" s="168"/>
      <c r="I18" s="168"/>
    </row>
    <row r="19" spans="2:10" ht="13.4" customHeight="1">
      <c r="B19" s="1383"/>
      <c r="C19" s="226" t="str">
        <f ca="1">IF('TS4500'!$F$8=$C$122,INDEX(indirectDSframesList4500,Table4500!$P$40+1),INDEX(indirectDSframesList4500, Table4500!$D$34+1))</f>
        <v>LandDandAllSframes4500</v>
      </c>
      <c r="E19" s="168"/>
      <c r="F19" s="168"/>
      <c r="G19" s="168"/>
      <c r="H19" s="168"/>
      <c r="I19" s="168"/>
    </row>
    <row r="20" spans="2:10" ht="13.4" customHeight="1">
      <c r="B20" s="1383"/>
      <c r="C20" s="226" t="str">
        <f ca="1">IF('TS4500'!$F$8=$C$122,INDEX(indirectDSframesList4500,Table4500!$Q$40+1),INDEX(indirectDSframesList4500, Table4500!$D$34+1))</f>
        <v>LandDandAllSframes4500</v>
      </c>
      <c r="E20" s="168"/>
      <c r="F20" s="168"/>
      <c r="G20" s="168"/>
      <c r="H20" s="168"/>
      <c r="I20" s="168"/>
    </row>
    <row r="21" spans="2:10" ht="13.4" customHeight="1">
      <c r="B21" s="1383"/>
      <c r="C21" s="226" t="str">
        <f ca="1">IF('TS4500'!$F$8=$C$122,INDEX(indirectDSframesList4500,Table4500!$R$40+1),INDEX(indirectDSframesList4500, Table4500!$D$34+1))</f>
        <v>LandDandAllSframes4500</v>
      </c>
      <c r="E21" s="168"/>
      <c r="F21" s="168"/>
      <c r="G21" s="168"/>
      <c r="H21" s="168"/>
      <c r="I21" s="168"/>
    </row>
    <row r="22" spans="2:10" ht="13.4" customHeight="1">
      <c r="B22" s="1383"/>
      <c r="C22" s="226" t="str">
        <f ca="1">IF('TS4500'!$F$8=$C$122,INDEX(indirectDSframesList4500,Table4500!$S$40+1),INDEX(indirectDSframesList4500, Table4500!$D$34+1))</f>
        <v>LandDandAllSframes4500</v>
      </c>
      <c r="E22" s="168"/>
      <c r="F22" s="168"/>
      <c r="G22" s="168"/>
      <c r="H22" s="168"/>
      <c r="I22" s="168"/>
    </row>
    <row r="23" spans="2:10">
      <c r="B23" s="1384"/>
      <c r="C23" s="227" t="str">
        <f ca="1">IF('TS4500'!$F$8=$C$122,INDEX(indirectDSframesList4500,Table4500!$T$40+1),INDEX(indirectDSframesList4500, Table4500!$D$34+1))</f>
        <v>LandDandAllSframes4500</v>
      </c>
      <c r="E23" s="168"/>
      <c r="F23" s="168"/>
      <c r="G23" s="168"/>
      <c r="H23" s="168"/>
      <c r="I23" s="168"/>
    </row>
    <row r="24" spans="2:10">
      <c r="E24" s="168"/>
      <c r="F24" s="168"/>
      <c r="G24" s="168"/>
      <c r="H24" s="168"/>
      <c r="I24" s="168"/>
    </row>
    <row r="25" spans="2:10">
      <c r="B25" s="239" t="s">
        <v>390</v>
      </c>
      <c r="C25" s="211" t="s">
        <v>347</v>
      </c>
      <c r="E25" s="168"/>
      <c r="F25" s="168"/>
      <c r="G25" s="168"/>
      <c r="H25" s="168"/>
      <c r="I25" s="168"/>
    </row>
    <row r="26" spans="2:10">
      <c r="B26" s="240"/>
      <c r="C26" s="212" t="s">
        <v>362</v>
      </c>
      <c r="E26" s="168"/>
      <c r="F26" s="168"/>
      <c r="G26" s="168"/>
      <c r="H26" s="168"/>
      <c r="I26" s="168"/>
    </row>
    <row r="27" spans="2:10">
      <c r="B27" s="240"/>
      <c r="C27" s="212" t="s">
        <v>348</v>
      </c>
      <c r="D27" s="10"/>
      <c r="E27" s="168"/>
      <c r="F27" s="168"/>
      <c r="G27" s="168"/>
      <c r="H27" s="168"/>
      <c r="I27" s="168"/>
    </row>
    <row r="28" spans="2:10">
      <c r="B28" s="241"/>
      <c r="C28" s="213" t="s">
        <v>363</v>
      </c>
      <c r="D28" s="10"/>
      <c r="E28" s="206"/>
      <c r="F28" s="206"/>
      <c r="G28" s="206"/>
      <c r="H28" s="206"/>
      <c r="I28" s="206"/>
    </row>
    <row r="29" spans="2:10">
      <c r="D29" s="10"/>
      <c r="J29" s="153"/>
    </row>
    <row r="30" spans="2:10">
      <c r="B30" s="154" t="s">
        <v>370</v>
      </c>
      <c r="C30" s="155" t="s">
        <v>349</v>
      </c>
      <c r="D30" s="10"/>
    </row>
    <row r="31" spans="2:10">
      <c r="B31" s="159"/>
      <c r="C31" s="160" t="s">
        <v>362</v>
      </c>
      <c r="D31" s="10"/>
    </row>
    <row r="32" spans="2:10">
      <c r="B32" s="159"/>
      <c r="C32" s="160" t="s">
        <v>350</v>
      </c>
      <c r="D32" s="10"/>
    </row>
    <row r="33" spans="2:10">
      <c r="B33" s="159"/>
      <c r="C33" s="160" t="s">
        <v>363</v>
      </c>
      <c r="D33" s="10"/>
    </row>
    <row r="34" spans="2:10">
      <c r="B34" s="159"/>
      <c r="C34" s="160" t="s">
        <v>475</v>
      </c>
      <c r="D34" s="10"/>
    </row>
    <row r="35" spans="2:10">
      <c r="B35" s="165"/>
      <c r="C35" s="166" t="s">
        <v>364</v>
      </c>
      <c r="D35" s="10"/>
    </row>
    <row r="36" spans="2:10">
      <c r="D36" s="10"/>
    </row>
    <row r="37" spans="2:10">
      <c r="B37" s="154" t="s">
        <v>371</v>
      </c>
      <c r="C37" s="155" t="s">
        <v>349</v>
      </c>
      <c r="D37" s="10"/>
    </row>
    <row r="38" spans="2:10">
      <c r="B38" s="159"/>
      <c r="C38" s="160" t="s">
        <v>362</v>
      </c>
      <c r="D38" s="10"/>
      <c r="J38" s="153"/>
    </row>
    <row r="39" spans="2:10">
      <c r="B39" s="159"/>
      <c r="C39" s="160" t="s">
        <v>350</v>
      </c>
      <c r="D39" s="10"/>
      <c r="J39" s="153"/>
    </row>
    <row r="40" spans="2:10">
      <c r="B40" s="159"/>
      <c r="C40" s="160" t="s">
        <v>363</v>
      </c>
      <c r="D40" s="10"/>
      <c r="J40" s="153"/>
    </row>
    <row r="41" spans="2:10">
      <c r="B41" s="159"/>
      <c r="C41" s="160" t="s">
        <v>475</v>
      </c>
      <c r="D41" s="10"/>
      <c r="J41" s="153"/>
    </row>
    <row r="42" spans="2:10">
      <c r="B42" s="165"/>
      <c r="C42" s="166" t="s">
        <v>368</v>
      </c>
      <c r="D42" s="10"/>
      <c r="J42" s="153"/>
    </row>
    <row r="43" spans="2:10">
      <c r="D43" s="10"/>
      <c r="J43" s="153"/>
    </row>
    <row r="44" spans="2:10">
      <c r="B44" s="239" t="s">
        <v>481</v>
      </c>
      <c r="C44" s="211" t="s">
        <v>349</v>
      </c>
      <c r="D44" s="10"/>
      <c r="J44" s="153"/>
    </row>
    <row r="45" spans="2:10">
      <c r="B45" s="240"/>
      <c r="C45" s="212" t="s">
        <v>362</v>
      </c>
      <c r="D45" s="10"/>
      <c r="J45" s="153"/>
    </row>
    <row r="46" spans="2:10">
      <c r="B46" s="240"/>
      <c r="C46" s="212" t="s">
        <v>350</v>
      </c>
      <c r="D46" s="10"/>
      <c r="J46" s="153"/>
    </row>
    <row r="47" spans="2:10">
      <c r="B47" s="240"/>
      <c r="C47" s="212" t="s">
        <v>363</v>
      </c>
      <c r="D47" s="10"/>
      <c r="J47" s="153"/>
    </row>
    <row r="48" spans="2:10">
      <c r="B48" s="240"/>
      <c r="C48" s="212" t="s">
        <v>475</v>
      </c>
      <c r="D48" s="10"/>
      <c r="J48" s="153"/>
    </row>
    <row r="49" spans="2:10">
      <c r="B49" s="240"/>
      <c r="C49" s="212" t="s">
        <v>364</v>
      </c>
      <c r="D49" s="10"/>
      <c r="J49" s="153"/>
    </row>
    <row r="50" spans="2:10">
      <c r="B50" s="241"/>
      <c r="C50" s="213" t="s">
        <v>368</v>
      </c>
      <c r="D50" s="10"/>
      <c r="J50" s="153"/>
    </row>
    <row r="51" spans="2:10">
      <c r="J51" s="153"/>
    </row>
    <row r="52" spans="2:10">
      <c r="B52" s="169" t="s">
        <v>383</v>
      </c>
      <c r="C52" s="12" t="str">
        <f>CONCATENATE("TS",'TS4500'!$F$7,IF('TS4500'!F5=1,"ODS","ODM"))</f>
        <v>TSD25ODM</v>
      </c>
    </row>
    <row r="53" spans="2:10">
      <c r="J53" s="153"/>
    </row>
    <row r="54" spans="2:10">
      <c r="B54" s="1291" t="s">
        <v>373</v>
      </c>
      <c r="C54" s="155" t="s">
        <v>2</v>
      </c>
      <c r="J54" s="153"/>
    </row>
    <row r="55" spans="2:10">
      <c r="B55" s="1292"/>
      <c r="C55" s="160" t="s">
        <v>3</v>
      </c>
      <c r="H55" s="168"/>
      <c r="I55" s="168"/>
    </row>
    <row r="56" spans="2:10">
      <c r="B56" s="1292"/>
      <c r="C56" s="160" t="s">
        <v>201</v>
      </c>
      <c r="H56" s="168"/>
      <c r="I56" s="168"/>
    </row>
    <row r="57" spans="2:10">
      <c r="B57" s="1294"/>
      <c r="C57" s="166" t="s">
        <v>372</v>
      </c>
    </row>
    <row r="58" spans="2:10">
      <c r="B58" s="168"/>
    </row>
    <row r="59" spans="2:10">
      <c r="B59" s="214" t="s">
        <v>374</v>
      </c>
      <c r="C59" s="215" t="s">
        <v>372</v>
      </c>
    </row>
    <row r="61" spans="2:10">
      <c r="B61" s="1321" t="s">
        <v>89</v>
      </c>
      <c r="C61" s="211" t="s">
        <v>2</v>
      </c>
    </row>
    <row r="62" spans="2:10">
      <c r="B62" s="1322"/>
      <c r="C62" s="212" t="s">
        <v>3</v>
      </c>
    </row>
    <row r="63" spans="2:10">
      <c r="B63" s="1323"/>
      <c r="C63" s="213" t="s">
        <v>4</v>
      </c>
    </row>
    <row r="64" spans="2:10">
      <c r="B64" s="168"/>
    </row>
    <row r="65" spans="2:3">
      <c r="B65" s="214" t="s">
        <v>90</v>
      </c>
      <c r="C65" s="215" t="s">
        <v>4</v>
      </c>
    </row>
    <row r="67" spans="2:3">
      <c r="B67" s="1291" t="s">
        <v>381</v>
      </c>
      <c r="C67" s="155" t="s">
        <v>2</v>
      </c>
    </row>
    <row r="68" spans="2:3">
      <c r="B68" s="1292"/>
      <c r="C68" s="160" t="s">
        <v>3</v>
      </c>
    </row>
    <row r="69" spans="2:3">
      <c r="B69" s="1292"/>
      <c r="C69" s="160" t="s">
        <v>201</v>
      </c>
    </row>
    <row r="70" spans="2:3">
      <c r="B70" s="1294"/>
      <c r="C70" s="166" t="s">
        <v>372</v>
      </c>
    </row>
    <row r="71" spans="2:3">
      <c r="B71" s="168"/>
    </row>
    <row r="72" spans="2:3">
      <c r="B72" s="214" t="s">
        <v>382</v>
      </c>
      <c r="C72" s="215" t="s">
        <v>372</v>
      </c>
    </row>
    <row r="74" spans="2:3">
      <c r="B74" s="1321" t="s">
        <v>93</v>
      </c>
      <c r="C74" s="211" t="s">
        <v>2</v>
      </c>
    </row>
    <row r="75" spans="2:3">
      <c r="B75" s="1322"/>
      <c r="C75" s="212" t="s">
        <v>3</v>
      </c>
    </row>
    <row r="76" spans="2:3">
      <c r="B76" s="1323"/>
      <c r="C76" s="213" t="s">
        <v>4</v>
      </c>
    </row>
    <row r="77" spans="2:3">
      <c r="B77" s="168"/>
    </row>
    <row r="78" spans="2:3">
      <c r="B78" s="214" t="s">
        <v>94</v>
      </c>
      <c r="C78" s="215" t="s">
        <v>4</v>
      </c>
    </row>
    <row r="80" spans="2:3">
      <c r="B80" s="1321" t="s">
        <v>95</v>
      </c>
      <c r="C80" s="211" t="s">
        <v>24</v>
      </c>
    </row>
    <row r="81" spans="2:5">
      <c r="B81" s="1323"/>
      <c r="C81" s="213" t="s">
        <v>25</v>
      </c>
    </row>
    <row r="83" spans="2:5">
      <c r="B83" s="216" t="s">
        <v>96</v>
      </c>
      <c r="C83" s="215" t="s">
        <v>25</v>
      </c>
    </row>
    <row r="85" spans="2:5">
      <c r="B85" s="169" t="s">
        <v>384</v>
      </c>
      <c r="C85" s="12" t="str">
        <f ca="1">CONCATENATE("TS",'TS4500'!$F$7,SUBSTITUTE('TS4500'!$F$10," ","_"),"IO",IF(OR(AND(OR('TS4500'!$F7="L55",'TS4500'!$F7="L52",'TS4500'!$F7="L32"),Table4500!D32&gt;0),AND(OR('TS4500'!$F7="L25",'TS4500'!$F7="L22"),Table4500!D33&gt;0)),"Mixed",""))</f>
        <v>TSD25HDIO</v>
      </c>
      <c r="E85" s="10"/>
    </row>
    <row r="87" spans="2:5">
      <c r="B87" s="169" t="s">
        <v>375</v>
      </c>
      <c r="C87" s="236" t="s">
        <v>428</v>
      </c>
    </row>
    <row r="89" spans="2:5">
      <c r="B89" s="169" t="s">
        <v>376</v>
      </c>
      <c r="C89" s="236" t="s">
        <v>428</v>
      </c>
    </row>
    <row r="91" spans="2:5">
      <c r="B91" s="157" t="s">
        <v>387</v>
      </c>
      <c r="C91" s="236" t="s">
        <v>428</v>
      </c>
    </row>
    <row r="92" spans="2:5">
      <c r="B92" s="167" t="s">
        <v>388</v>
      </c>
      <c r="C92" s="236" t="s">
        <v>428</v>
      </c>
      <c r="D92" s="12" t="s">
        <v>81</v>
      </c>
    </row>
    <row r="94" spans="2:5">
      <c r="B94" s="216" t="s">
        <v>101</v>
      </c>
      <c r="C94" s="215" t="s">
        <v>85</v>
      </c>
    </row>
    <row r="96" spans="2:5">
      <c r="B96" s="216" t="s">
        <v>102</v>
      </c>
      <c r="C96" s="215" t="s">
        <v>85</v>
      </c>
    </row>
    <row r="98" spans="2:4">
      <c r="B98" s="1321" t="s">
        <v>103</v>
      </c>
      <c r="C98" s="211" t="s">
        <v>85</v>
      </c>
    </row>
    <row r="99" spans="2:4">
      <c r="B99" s="1323"/>
      <c r="C99" s="213" t="s">
        <v>86</v>
      </c>
    </row>
    <row r="100" spans="2:4">
      <c r="B100" s="214" t="s">
        <v>104</v>
      </c>
      <c r="C100" s="215" t="s">
        <v>81</v>
      </c>
    </row>
    <row r="102" spans="2:4">
      <c r="B102" s="169" t="s">
        <v>377</v>
      </c>
      <c r="C102" s="236" t="s">
        <v>428</v>
      </c>
    </row>
    <row r="104" spans="2:4">
      <c r="B104" s="169" t="s">
        <v>378</v>
      </c>
      <c r="C104" s="236" t="s">
        <v>428</v>
      </c>
    </row>
    <row r="106" spans="2:4">
      <c r="B106" s="157" t="s">
        <v>385</v>
      </c>
      <c r="C106" s="236" t="s">
        <v>428</v>
      </c>
    </row>
    <row r="107" spans="2:4">
      <c r="B107" s="167" t="s">
        <v>386</v>
      </c>
      <c r="C107" s="236" t="s">
        <v>428</v>
      </c>
      <c r="D107" s="12" t="s">
        <v>84</v>
      </c>
    </row>
    <row r="108" spans="2:4">
      <c r="B108" s="168"/>
    </row>
    <row r="109" spans="2:4">
      <c r="B109" s="216" t="s">
        <v>109</v>
      </c>
      <c r="C109" s="215" t="s">
        <v>82</v>
      </c>
    </row>
    <row r="111" spans="2:4">
      <c r="B111" s="216" t="s">
        <v>110</v>
      </c>
      <c r="C111" s="215" t="s">
        <v>82</v>
      </c>
    </row>
    <row r="113" spans="2:3">
      <c r="B113" s="1321" t="s">
        <v>111</v>
      </c>
      <c r="C113" s="211" t="s">
        <v>82</v>
      </c>
    </row>
    <row r="114" spans="2:3">
      <c r="B114" s="1323"/>
      <c r="C114" s="213" t="s">
        <v>83</v>
      </c>
    </row>
    <row r="115" spans="2:3">
      <c r="B115" s="214" t="s">
        <v>112</v>
      </c>
      <c r="C115" s="215" t="s">
        <v>84</v>
      </c>
    </row>
    <row r="117" spans="2:3">
      <c r="B117" s="214" t="s">
        <v>113</v>
      </c>
      <c r="C117" s="215" t="s">
        <v>79</v>
      </c>
    </row>
    <row r="118" spans="2:3">
      <c r="B118" s="1321" t="s">
        <v>114</v>
      </c>
      <c r="C118" s="211" t="s">
        <v>79</v>
      </c>
    </row>
    <row r="119" spans="2:3">
      <c r="B119" s="1323"/>
      <c r="C119" s="213" t="s">
        <v>80</v>
      </c>
    </row>
    <row r="120" spans="2:3">
      <c r="B120" s="214" t="s">
        <v>115</v>
      </c>
      <c r="C120" s="215" t="s">
        <v>78</v>
      </c>
    </row>
    <row r="121" spans="2:3">
      <c r="B121" s="168"/>
    </row>
    <row r="122" spans="2:3">
      <c r="B122" s="1317" t="s">
        <v>380</v>
      </c>
      <c r="C122" s="139" t="s">
        <v>493</v>
      </c>
    </row>
    <row r="123" spans="2:3">
      <c r="B123" s="1320"/>
      <c r="C123" s="141" t="s">
        <v>494</v>
      </c>
    </row>
    <row r="124" spans="2:3">
      <c r="B124" s="168"/>
    </row>
    <row r="125" spans="2:3">
      <c r="B125" s="168" t="s">
        <v>118</v>
      </c>
      <c r="C125" s="10" t="s">
        <v>119</v>
      </c>
    </row>
    <row r="126" spans="2:3">
      <c r="B126" s="1324" t="s">
        <v>391</v>
      </c>
      <c r="C126" s="217" t="str">
        <f>IF(OR('TS4500'!J$7="S25",'TS4500'!J$7="S55"),"Sx5frameOD",CONCATENATE("TSDframe",IF('TS4500'!J$12=1,"IOStation4500","NOIO4500")))</f>
        <v>TSDframeNOIO4500</v>
      </c>
    </row>
    <row r="127" spans="2:3">
      <c r="B127" s="1385"/>
      <c r="C127" s="230" t="str">
        <f>IF(OR('TS4500'!K$7="S25",'TS4500'!K$7="S55"),"Sx5frameOD",CONCATENATE("TSDframe",IF('TS4500'!K$12=1,"IOStation4500","NOIO4500")))</f>
        <v>TSDframeIOStation4500</v>
      </c>
    </row>
    <row r="128" spans="2:3">
      <c r="B128" s="1385"/>
      <c r="C128" s="230" t="str">
        <f>IF(OR('TS4500'!L$7="S25",'TS4500'!L$7="S55"),"Sx5frameOD",CONCATENATE("TSDframe",IF('TS4500'!L$12=1,"IOStation4500","NOIO4500")))</f>
        <v>TSDframeIOStation4500</v>
      </c>
    </row>
    <row r="129" spans="2:3">
      <c r="B129" s="1385"/>
      <c r="C129" s="230" t="str">
        <f>IF(OR('TS4500'!M$7="S25",'TS4500'!M$7="S55"),"Sx5frameOD",CONCATENATE("TSDframe",IF('TS4500'!M$12=1,"IOStation4500","NOIO4500")))</f>
        <v>Sx5frameOD</v>
      </c>
    </row>
    <row r="130" spans="2:3">
      <c r="B130" s="1385"/>
      <c r="C130" s="230" t="str">
        <f>IF(OR('TS4500'!N$7="S25",'TS4500'!N$7="S55"),"Sx5frameOD",CONCATENATE("TSDframe",IF('TS4500'!N$12=1,"IOStation4500","NOIO4500")))</f>
        <v>Sx5frameOD</v>
      </c>
    </row>
    <row r="131" spans="2:3">
      <c r="B131" s="1385"/>
      <c r="C131" s="230" t="str">
        <f>IF(OR('TS4500'!O$7="S25",'TS4500'!O$7="S55"),"Sx5frameOD",CONCATENATE("TSDframe",IF('TS4500'!O$12=1,"IOStation4500","NOIO4500")))</f>
        <v>Sx5frameOD</v>
      </c>
    </row>
    <row r="132" spans="2:3">
      <c r="B132" s="1385"/>
      <c r="C132" s="230" t="str">
        <f>IF(OR('TS4500'!P$7="S25",'TS4500'!P$7="S55"),"Sx5frameOD",CONCATENATE("TSDframe",IF('TS4500'!P$12=1,"IOStation4500","NOIO4500")))</f>
        <v>Sx5frameOD</v>
      </c>
    </row>
    <row r="133" spans="2:3">
      <c r="B133" s="1385"/>
      <c r="C133" s="230" t="str">
        <f>IF(OR('TS4500'!Q$7="S25",'TS4500'!Q$7="S55"),"Sx5frameOD",CONCATENATE("TSDframe",IF('TS4500'!Q$12=1,"IOStation4500","NOIO4500")))</f>
        <v>Sx5frameOD</v>
      </c>
    </row>
    <row r="134" spans="2:3">
      <c r="B134" s="1385"/>
      <c r="C134" s="230" t="str">
        <f>IF(OR('TS4500'!R$7="S25",'TS4500'!R$7="S55"),"Sx5frameOD",CONCATENATE("TSDframe",IF('TS4500'!R$12=1,"IOStation4500","NOIO4500")))</f>
        <v>Sx5frameOD</v>
      </c>
    </row>
    <row r="135" spans="2:3">
      <c r="B135" s="1385"/>
      <c r="C135" s="230" t="str">
        <f>IF(OR('TS4500'!S$7="S25",'TS4500'!S$7="S55"),"Sx5frameOD",CONCATENATE("TSDframe",IF('TS4500'!S$12=1,"IOStation4500","NOIO4500")))</f>
        <v>Sx5frameOD</v>
      </c>
    </row>
    <row r="136" spans="2:3">
      <c r="B136" s="1385"/>
      <c r="C136" s="230" t="str">
        <f>IF(OR('TS4500'!T$7="S25",'TS4500'!T$7="S55"),"Sx5frameOD",CONCATENATE("TSDframe",IF('TS4500'!T$12=1,"IOStation4500","NOIO4500")))</f>
        <v>Sx5frameOD</v>
      </c>
    </row>
    <row r="137" spans="2:3">
      <c r="B137" s="1385"/>
      <c r="C137" s="230" t="str">
        <f>IF(OR('TS4500'!U$7="S25",'TS4500'!U$7="S55"),"Sx5frameOD",CONCATENATE("TSDframe",IF('TS4500'!U$12=1,"IOStation4500","NOIO4500")))</f>
        <v>Sx5frameOD</v>
      </c>
    </row>
    <row r="138" spans="2:3">
      <c r="B138" s="1385"/>
      <c r="C138" s="230" t="str">
        <f>IF(OR('TS4500'!V$7="S25",'TS4500'!V$7="S55"),"Sx5frameOD",CONCATENATE("TSDframe",IF('TS4500'!V$12=1,"IOStation4500","NOIO4500")))</f>
        <v>TSDframeNOIO4500</v>
      </c>
    </row>
    <row r="139" spans="2:3">
      <c r="B139" s="1385"/>
      <c r="C139" s="230" t="str">
        <f>IF(OR('TS4500'!W$7="S25",'TS4500'!W$7="S55"),"Sx5frameOD",CONCATENATE("TSDframe",IF('TS4500'!W$12=1,"IOStation4500","NOIO4500")))</f>
        <v>TSDframeNOIO4500</v>
      </c>
    </row>
    <row r="140" spans="2:3">
      <c r="B140" s="1385"/>
      <c r="C140" s="230" t="str">
        <f>IF(OR('TS4500'!X$7="S25",'TS4500'!X$7="S55"),"Sx5frameOD",CONCATENATE("TSDframe",IF('TS4500'!X$12=1,"IOStation4500","NOIO4500")))</f>
        <v>Sx5frameOD</v>
      </c>
    </row>
    <row r="141" spans="2:3">
      <c r="B141" s="1385"/>
      <c r="C141" s="230" t="str">
        <f>IF(OR('TS4500'!Y$7="S25",'TS4500'!Y$7="S55"),"Sx5frameOD",CONCATENATE("TSDframe",IF('TS4500'!Y$12=1,"IOStation4500","NOIO4500")))</f>
        <v>TSDframeNOIO4500</v>
      </c>
    </row>
    <row r="142" spans="2:3">
      <c r="B142" s="1386"/>
      <c r="C142" s="218" t="str">
        <f>IF(OR('TS4500'!Z$7="S25",'TS4500'!Z$7="S55"),"Sx5frameOD",CONCATENATE("TSDframe",IF('TS4500'!Z$12=1,"IOStation4500","NOIO4500")))</f>
        <v>TSDframeNOIO4500</v>
      </c>
    </row>
    <row r="143" spans="2:3">
      <c r="B143" s="168"/>
    </row>
    <row r="144" spans="2:3">
      <c r="B144" s="157" t="s">
        <v>392</v>
      </c>
      <c r="C144" s="235" t="s">
        <v>428</v>
      </c>
    </row>
    <row r="145" spans="2:9">
      <c r="B145" s="170" t="s">
        <v>393</v>
      </c>
      <c r="C145" s="171" t="s">
        <v>127</v>
      </c>
    </row>
    <row r="146" spans="2:9">
      <c r="B146" s="168"/>
      <c r="C146" s="172"/>
    </row>
    <row r="147" spans="2:9">
      <c r="B147" s="1317" t="s">
        <v>379</v>
      </c>
      <c r="C147" s="139" t="s">
        <v>201</v>
      </c>
    </row>
    <row r="148" spans="2:9">
      <c r="B148" s="1319"/>
      <c r="C148" s="141" t="s">
        <v>372</v>
      </c>
    </row>
    <row r="149" spans="2:9">
      <c r="B149" s="168"/>
      <c r="C149" s="172"/>
    </row>
    <row r="150" spans="2:9">
      <c r="B150" s="1324" t="s">
        <v>409</v>
      </c>
      <c r="C150" s="222" t="str">
        <f>IF(OR('TS4500'!J$7="S25",'TS4500'!J$7="S55"),"NumberDrives04500","NumberDrivesD4500 ")</f>
        <v xml:space="preserve">NumberDrivesD4500 </v>
      </c>
      <c r="D150" s="232"/>
    </row>
    <row r="151" spans="2:9">
      <c r="B151" s="1385"/>
      <c r="C151" s="223" t="str">
        <f>IF(OR('TS4500'!K$7="S25",'TS4500'!K$7="S55"),"NumberDrives04500","NumberDrivesD4500 ")</f>
        <v xml:space="preserve">NumberDrivesD4500 </v>
      </c>
      <c r="I151" s="153" t="s">
        <v>491</v>
      </c>
    </row>
    <row r="152" spans="2:9">
      <c r="B152" s="1385"/>
      <c r="C152" s="223" t="str">
        <f>IF(OR('TS4500'!L$7="S25",'TS4500'!L$7="S55"),"NumberDrives04500","NumberDrivesD4500 ")</f>
        <v xml:space="preserve">NumberDrivesD4500 </v>
      </c>
    </row>
    <row r="153" spans="2:9">
      <c r="B153" s="1385"/>
      <c r="C153" s="223" t="str">
        <f>IF(OR('TS4500'!M$7="S25",'TS4500'!M$7="S55"),"NumberDrives04500","NumberDrivesD4500 ")</f>
        <v>NumberDrives04500</v>
      </c>
    </row>
    <row r="154" spans="2:9">
      <c r="B154" s="1385"/>
      <c r="C154" s="223" t="str">
        <f>IF(OR('TS4500'!N$7="S25",'TS4500'!N$7="S55"),"NumberDrives04500","NumberDrivesD4500 ")</f>
        <v>NumberDrives04500</v>
      </c>
    </row>
    <row r="155" spans="2:9">
      <c r="B155" s="1385"/>
      <c r="C155" s="223" t="str">
        <f>IF(OR('TS4500'!O$7="S25",'TS4500'!O$7="S55"),"NumberDrives04500","NumberDrivesD4500 ")</f>
        <v>NumberDrives04500</v>
      </c>
    </row>
    <row r="156" spans="2:9">
      <c r="B156" s="1385"/>
      <c r="C156" s="223" t="str">
        <f>IF(OR('TS4500'!P$7="S25",'TS4500'!P$7="S55"),"NumberDrives04500","NumberDrivesD4500 ")</f>
        <v>NumberDrives04500</v>
      </c>
    </row>
    <row r="157" spans="2:9">
      <c r="B157" s="1385"/>
      <c r="C157" s="223" t="str">
        <f>IF(OR('TS4500'!Q$7="S25",'TS4500'!Q$7="S55"),"NumberDrives04500","NumberDrivesD4500 ")</f>
        <v>NumberDrives04500</v>
      </c>
    </row>
    <row r="158" spans="2:9">
      <c r="B158" s="1385"/>
      <c r="C158" s="223" t="str">
        <f>IF(OR('TS4500'!R$7="S25",'TS4500'!R$7="S55"),"NumberDrives04500","NumberDrivesD4500 ")</f>
        <v>NumberDrives04500</v>
      </c>
    </row>
    <row r="159" spans="2:9">
      <c r="B159" s="1385"/>
      <c r="C159" s="223" t="str">
        <f>IF(OR('TS4500'!S$7="S25",'TS4500'!S$7="S55"),"NumberDrives04500","NumberDrivesD4500 ")</f>
        <v>NumberDrives04500</v>
      </c>
    </row>
    <row r="160" spans="2:9">
      <c r="B160" s="1385"/>
      <c r="C160" s="223" t="str">
        <f>IF(OR('TS4500'!T$7="S25",'TS4500'!T$7="S55"),"NumberDrives04500","NumberDrivesD4500 ")</f>
        <v>NumberDrives04500</v>
      </c>
    </row>
    <row r="161" spans="2:4">
      <c r="B161" s="1385"/>
      <c r="C161" s="223" t="str">
        <f>IF(OR('TS4500'!U$7="S25",'TS4500'!U$7="S55"),"NumberDrives04500","NumberDrivesD4500 ")</f>
        <v>NumberDrives04500</v>
      </c>
    </row>
    <row r="162" spans="2:4">
      <c r="B162" s="1385"/>
      <c r="C162" s="223" t="str">
        <f>IF(OR('TS4500'!V$7="S25",'TS4500'!V$7="S55"),"NumberDrives04500","NumberDrivesD4500 ")</f>
        <v xml:space="preserve">NumberDrivesD4500 </v>
      </c>
    </row>
    <row r="163" spans="2:4">
      <c r="B163" s="1385"/>
      <c r="C163" s="223" t="str">
        <f>IF(OR('TS4500'!W$7="S25",'TS4500'!W$7="S55"),"NumberDrives04500","NumberDrivesD4500 ")</f>
        <v xml:space="preserve">NumberDrivesD4500 </v>
      </c>
    </row>
    <row r="164" spans="2:4">
      <c r="B164" s="1385"/>
      <c r="C164" s="223" t="str">
        <f>IF(OR('TS4500'!X$7="S25",'TS4500'!X$7="S55"),"NumberDrives04500","NumberDrivesD4500 ")</f>
        <v>NumberDrives04500</v>
      </c>
    </row>
    <row r="165" spans="2:4">
      <c r="B165" s="1385"/>
      <c r="C165" s="223" t="str">
        <f>IF(OR('TS4500'!Y$7="S25",'TS4500'!Y$7="S55"),"NumberDrives04500","NumberDrivesD4500 ")</f>
        <v xml:space="preserve">NumberDrivesD4500 </v>
      </c>
    </row>
    <row r="166" spans="2:4">
      <c r="B166" s="1386"/>
      <c r="C166" s="224" t="str">
        <f>IF(OR('TS3500'!Z$7="S24",'TS3500'!Z$7="S54"),"NumberDrives04500","NumberDrivesD4500 ")</f>
        <v xml:space="preserve">NumberDrivesD4500 </v>
      </c>
    </row>
    <row r="167" spans="2:4">
      <c r="B167" s="168"/>
      <c r="C167" s="172"/>
    </row>
    <row r="168" spans="2:4" ht="12.9">
      <c r="B168" s="156" t="s">
        <v>394</v>
      </c>
      <c r="C168" s="176">
        <v>0</v>
      </c>
      <c r="D168" s="324" t="s">
        <v>548</v>
      </c>
    </row>
    <row r="169" spans="2:4">
      <c r="B169" s="1291" t="s">
        <v>401</v>
      </c>
      <c r="C169" s="155">
        <v>0</v>
      </c>
    </row>
    <row r="170" spans="2:4">
      <c r="B170" s="1292"/>
      <c r="C170" s="160">
        <v>1</v>
      </c>
    </row>
    <row r="171" spans="2:4">
      <c r="B171" s="1292"/>
      <c r="C171" s="160">
        <v>2</v>
      </c>
    </row>
    <row r="172" spans="2:4">
      <c r="B172" s="1292"/>
      <c r="C172" s="160">
        <v>3</v>
      </c>
    </row>
    <row r="173" spans="2:4">
      <c r="B173" s="1292"/>
      <c r="C173" s="160">
        <v>4</v>
      </c>
    </row>
    <row r="174" spans="2:4">
      <c r="B174" s="1292"/>
      <c r="C174" s="160">
        <v>5</v>
      </c>
    </row>
    <row r="175" spans="2:4">
      <c r="B175" s="1292"/>
      <c r="C175" s="160">
        <v>6</v>
      </c>
    </row>
    <row r="176" spans="2:4">
      <c r="B176" s="1292"/>
      <c r="C176" s="160">
        <v>7</v>
      </c>
    </row>
    <row r="177" spans="2:3">
      <c r="B177" s="1292"/>
      <c r="C177" s="160">
        <v>8</v>
      </c>
    </row>
    <row r="178" spans="2:3">
      <c r="B178" s="1292"/>
      <c r="C178" s="160">
        <v>9</v>
      </c>
    </row>
    <row r="179" spans="2:3">
      <c r="B179" s="1292"/>
      <c r="C179" s="160">
        <v>10</v>
      </c>
    </row>
    <row r="180" spans="2:3">
      <c r="B180" s="1292"/>
      <c r="C180" s="160">
        <v>11</v>
      </c>
    </row>
    <row r="181" spans="2:3">
      <c r="B181" s="1294"/>
      <c r="C181" s="166">
        <v>12</v>
      </c>
    </row>
    <row r="182" spans="2:3">
      <c r="B182" s="168"/>
    </row>
    <row r="183" spans="2:3">
      <c r="B183" s="156" t="s">
        <v>228</v>
      </c>
      <c r="C183" s="176">
        <v>0</v>
      </c>
    </row>
    <row r="184" spans="2:3">
      <c r="B184" s="1291" t="s">
        <v>410</v>
      </c>
      <c r="C184" s="155">
        <v>0</v>
      </c>
    </row>
    <row r="185" spans="2:3">
      <c r="B185" s="1292"/>
      <c r="C185" s="160">
        <v>1</v>
      </c>
    </row>
    <row r="186" spans="2:3">
      <c r="B186" s="1292"/>
      <c r="C186" s="160">
        <v>2</v>
      </c>
    </row>
    <row r="187" spans="2:3">
      <c r="B187" s="1292"/>
      <c r="C187" s="160">
        <v>3</v>
      </c>
    </row>
    <row r="188" spans="2:3">
      <c r="B188" s="1292"/>
      <c r="C188" s="160">
        <v>4</v>
      </c>
    </row>
    <row r="189" spans="2:3">
      <c r="B189" s="1292"/>
      <c r="C189" s="160">
        <v>5</v>
      </c>
    </row>
    <row r="190" spans="2:3">
      <c r="B190" s="1292"/>
      <c r="C190" s="160">
        <v>6</v>
      </c>
    </row>
    <row r="191" spans="2:3">
      <c r="B191" s="1292"/>
      <c r="C191" s="160">
        <v>7</v>
      </c>
    </row>
    <row r="192" spans="2:3">
      <c r="B192" s="1292"/>
      <c r="C192" s="160">
        <v>8</v>
      </c>
    </row>
    <row r="193" spans="2:4">
      <c r="B193" s="1292"/>
      <c r="C193" s="160">
        <v>9</v>
      </c>
    </row>
    <row r="194" spans="2:4">
      <c r="B194" s="1292"/>
      <c r="C194" s="160">
        <v>10</v>
      </c>
    </row>
    <row r="195" spans="2:4">
      <c r="B195" s="1292"/>
      <c r="C195" s="160">
        <v>11</v>
      </c>
    </row>
    <row r="196" spans="2:4">
      <c r="B196" s="1292"/>
      <c r="C196" s="160">
        <v>12</v>
      </c>
    </row>
    <row r="197" spans="2:4">
      <c r="B197" s="1292"/>
      <c r="C197" s="160">
        <v>13</v>
      </c>
    </row>
    <row r="198" spans="2:4">
      <c r="B198" s="1292"/>
      <c r="C198" s="160">
        <v>14</v>
      </c>
    </row>
    <row r="199" spans="2:4">
      <c r="B199" s="1292"/>
      <c r="C199" s="160">
        <v>15</v>
      </c>
    </row>
    <row r="200" spans="2:4">
      <c r="B200" s="1294"/>
      <c r="C200" s="166">
        <v>16</v>
      </c>
    </row>
    <row r="201" spans="2:4">
      <c r="B201" s="168"/>
    </row>
    <row r="202" spans="2:4">
      <c r="B202" s="1291" t="s">
        <v>339</v>
      </c>
      <c r="C202" s="155">
        <v>1</v>
      </c>
      <c r="D202" s="153">
        <v>18</v>
      </c>
    </row>
    <row r="203" spans="2:4">
      <c r="B203" s="1292"/>
      <c r="C203" s="160">
        <v>2</v>
      </c>
    </row>
    <row r="204" spans="2:4">
      <c r="B204" s="1292"/>
      <c r="C204" s="160">
        <v>3</v>
      </c>
    </row>
    <row r="205" spans="2:4">
      <c r="B205" s="1292"/>
      <c r="C205" s="160">
        <v>4</v>
      </c>
    </row>
    <row r="206" spans="2:4">
      <c r="B206" s="1292"/>
      <c r="C206" s="160">
        <v>5</v>
      </c>
    </row>
    <row r="207" spans="2:4">
      <c r="B207" s="1292"/>
      <c r="C207" s="160">
        <v>6</v>
      </c>
    </row>
    <row r="208" spans="2:4">
      <c r="B208" s="1292"/>
      <c r="C208" s="160">
        <v>7</v>
      </c>
    </row>
    <row r="209" spans="2:4">
      <c r="B209" s="1292"/>
      <c r="C209" s="160">
        <v>8</v>
      </c>
    </row>
    <row r="210" spans="2:4">
      <c r="B210" s="1292"/>
      <c r="C210" s="160">
        <v>9</v>
      </c>
    </row>
    <row r="211" spans="2:4">
      <c r="B211" s="1292"/>
      <c r="C211" s="160">
        <v>10</v>
      </c>
    </row>
    <row r="212" spans="2:4">
      <c r="B212" s="1292"/>
      <c r="C212" s="160">
        <v>11</v>
      </c>
    </row>
    <row r="213" spans="2:4">
      <c r="B213" s="1292"/>
      <c r="C213" s="160">
        <v>12</v>
      </c>
    </row>
    <row r="214" spans="2:4">
      <c r="B214" s="1292"/>
      <c r="C214" s="160">
        <v>13</v>
      </c>
    </row>
    <row r="215" spans="2:4">
      <c r="B215" s="1292"/>
      <c r="C215" s="160">
        <v>14</v>
      </c>
    </row>
    <row r="216" spans="2:4">
      <c r="B216" s="1292"/>
      <c r="C216" s="160">
        <v>15</v>
      </c>
    </row>
    <row r="217" spans="2:4">
      <c r="B217" s="1292"/>
      <c r="C217" s="160">
        <v>16</v>
      </c>
    </row>
    <row r="218" spans="2:4">
      <c r="B218" s="1292"/>
      <c r="C218" s="160">
        <v>17</v>
      </c>
    </row>
    <row r="219" spans="2:4">
      <c r="B219" s="1294"/>
      <c r="C219" s="166">
        <v>18</v>
      </c>
    </row>
    <row r="220" spans="2:4" ht="12.9" thickBot="1"/>
    <row r="221" spans="2:4" ht="12.9" thickTop="1">
      <c r="B221" s="1317" t="s">
        <v>174</v>
      </c>
      <c r="C221" s="177" t="s">
        <v>178</v>
      </c>
      <c r="D221" s="178">
        <v>1</v>
      </c>
    </row>
    <row r="222" spans="2:4">
      <c r="B222" s="1318"/>
      <c r="C222" s="179" t="s">
        <v>181</v>
      </c>
      <c r="D222" s="180">
        <v>2</v>
      </c>
    </row>
    <row r="223" spans="2:4">
      <c r="B223" s="1318"/>
      <c r="C223" s="179" t="s">
        <v>324</v>
      </c>
      <c r="D223" s="180">
        <v>2.5</v>
      </c>
    </row>
    <row r="224" spans="2:4">
      <c r="B224" s="1318"/>
      <c r="C224" s="179" t="s">
        <v>179</v>
      </c>
      <c r="D224" s="180">
        <v>3</v>
      </c>
    </row>
    <row r="225" spans="2:4" ht="12.9" thickBot="1">
      <c r="B225" s="1319"/>
      <c r="C225" s="181" t="s">
        <v>180</v>
      </c>
      <c r="D225" s="182">
        <v>4</v>
      </c>
    </row>
    <row r="226" spans="2:4" ht="12.9" thickTop="1"/>
    <row r="227" spans="2:4">
      <c r="B227" s="1324" t="s">
        <v>395</v>
      </c>
      <c r="C227" s="222" t="s">
        <v>209</v>
      </c>
    </row>
    <row r="228" spans="2:4">
      <c r="B228" s="1385"/>
      <c r="C228" s="223" t="s">
        <v>210</v>
      </c>
    </row>
    <row r="229" spans="2:4">
      <c r="B229" s="1385"/>
      <c r="C229" s="223" t="s">
        <v>211</v>
      </c>
    </row>
    <row r="230" spans="2:4">
      <c r="B230" s="1385"/>
      <c r="C230" s="223" t="s">
        <v>212</v>
      </c>
    </row>
    <row r="231" spans="2:4">
      <c r="B231" s="1385"/>
      <c r="C231" s="223" t="s">
        <v>213</v>
      </c>
    </row>
    <row r="232" spans="2:4">
      <c r="B232" s="1385"/>
      <c r="C232" s="223" t="s">
        <v>214</v>
      </c>
    </row>
    <row r="233" spans="2:4">
      <c r="B233" s="1385"/>
      <c r="C233" s="223" t="s">
        <v>215</v>
      </c>
    </row>
    <row r="234" spans="2:4">
      <c r="B234" s="1385"/>
      <c r="C234" s="223" t="s">
        <v>216</v>
      </c>
    </row>
    <row r="235" spans="2:4">
      <c r="B235" s="1385"/>
      <c r="C235" s="223" t="s">
        <v>217</v>
      </c>
    </row>
    <row r="236" spans="2:4">
      <c r="B236" s="1385"/>
      <c r="C236" s="223" t="s">
        <v>218</v>
      </c>
    </row>
    <row r="237" spans="2:4">
      <c r="B237" s="1385"/>
      <c r="C237" s="223" t="s">
        <v>219</v>
      </c>
    </row>
    <row r="238" spans="2:4">
      <c r="B238" s="1385"/>
      <c r="C238" s="223" t="s">
        <v>220</v>
      </c>
    </row>
    <row r="239" spans="2:4">
      <c r="B239" s="1385"/>
      <c r="C239" s="223" t="s">
        <v>221</v>
      </c>
    </row>
    <row r="240" spans="2:4">
      <c r="B240" s="1385"/>
      <c r="C240" s="223" t="s">
        <v>222</v>
      </c>
    </row>
    <row r="241" spans="2:3">
      <c r="B241" s="1385"/>
      <c r="C241" s="223" t="s">
        <v>223</v>
      </c>
    </row>
    <row r="242" spans="2:3">
      <c r="B242" s="1385"/>
      <c r="C242" s="223" t="s">
        <v>224</v>
      </c>
    </row>
    <row r="243" spans="2:3">
      <c r="B243" s="1385"/>
      <c r="C243" s="223" t="s">
        <v>396</v>
      </c>
    </row>
    <row r="244" spans="2:3">
      <c r="B244" s="1386"/>
      <c r="C244" s="224" t="s">
        <v>397</v>
      </c>
    </row>
    <row r="245" spans="2:3">
      <c r="C245" s="172"/>
    </row>
    <row r="246" spans="2:3">
      <c r="B246" s="156" t="s">
        <v>398</v>
      </c>
      <c r="C246" s="176" t="str">
        <f>CONCATENATE("F4500Type02to",INDEX(NumToChar4500,'TS4500'!$F$5))</f>
        <v>F4500Type02to04</v>
      </c>
    </row>
    <row r="248" spans="2:3">
      <c r="B248" s="156" t="s">
        <v>399</v>
      </c>
      <c r="C248" s="176" t="str">
        <f>CONCATENATE("Dr4500Num02to",INDEX(NumToChar4500,'TS4500'!$F$5))</f>
        <v>Dr4500Num02to04</v>
      </c>
    </row>
    <row r="250" spans="2:3">
      <c r="B250" s="1299" t="s">
        <v>400</v>
      </c>
      <c r="C250" s="10" t="s">
        <v>476</v>
      </c>
    </row>
    <row r="251" spans="2:3">
      <c r="B251" s="1299"/>
      <c r="C251" s="10" t="s">
        <v>370</v>
      </c>
    </row>
    <row r="252" spans="2:3">
      <c r="B252" s="1299"/>
      <c r="C252" s="10" t="s">
        <v>371</v>
      </c>
    </row>
    <row r="253" spans="2:3">
      <c r="B253" s="1299"/>
      <c r="C253" s="10" t="s">
        <v>477</v>
      </c>
    </row>
    <row r="255" spans="2:3">
      <c r="B255" s="1321" t="s">
        <v>339</v>
      </c>
      <c r="C255" s="211">
        <v>1</v>
      </c>
    </row>
    <row r="256" spans="2:3">
      <c r="B256" s="1322"/>
      <c r="C256" s="212">
        <v>2</v>
      </c>
    </row>
    <row r="257" spans="2:3">
      <c r="B257" s="1322"/>
      <c r="C257" s="212">
        <v>3</v>
      </c>
    </row>
    <row r="258" spans="2:3">
      <c r="B258" s="1322"/>
      <c r="C258" s="212">
        <v>4</v>
      </c>
    </row>
    <row r="259" spans="2:3">
      <c r="B259" s="1322"/>
      <c r="C259" s="212">
        <v>5</v>
      </c>
    </row>
    <row r="260" spans="2:3">
      <c r="B260" s="1322"/>
      <c r="C260" s="212">
        <v>6</v>
      </c>
    </row>
    <row r="261" spans="2:3">
      <c r="B261" s="1322"/>
      <c r="C261" s="212">
        <v>7</v>
      </c>
    </row>
    <row r="262" spans="2:3">
      <c r="B262" s="1322"/>
      <c r="C262" s="212">
        <v>8</v>
      </c>
    </row>
    <row r="263" spans="2:3">
      <c r="B263" s="1322"/>
      <c r="C263" s="212">
        <v>9</v>
      </c>
    </row>
    <row r="264" spans="2:3">
      <c r="B264" s="1322"/>
      <c r="C264" s="212">
        <v>10</v>
      </c>
    </row>
    <row r="265" spans="2:3">
      <c r="B265" s="1322"/>
      <c r="C265" s="212">
        <v>11</v>
      </c>
    </row>
    <row r="266" spans="2:3">
      <c r="B266" s="1322"/>
      <c r="C266" s="212">
        <v>12</v>
      </c>
    </row>
    <row r="267" spans="2:3">
      <c r="B267" s="1322"/>
      <c r="C267" s="212">
        <v>13</v>
      </c>
    </row>
    <row r="268" spans="2:3">
      <c r="B268" s="1322"/>
      <c r="C268" s="212">
        <v>14</v>
      </c>
    </row>
    <row r="269" spans="2:3">
      <c r="B269" s="1322"/>
      <c r="C269" s="212">
        <v>15</v>
      </c>
    </row>
    <row r="270" spans="2:3">
      <c r="B270" s="1322"/>
      <c r="C270" s="212">
        <v>16</v>
      </c>
    </row>
    <row r="271" spans="2:3">
      <c r="B271" s="1322"/>
      <c r="C271" s="212">
        <v>17</v>
      </c>
    </row>
    <row r="272" spans="2:3">
      <c r="B272" s="1323"/>
      <c r="C272" s="213">
        <v>18</v>
      </c>
    </row>
    <row r="274" spans="2:3">
      <c r="B274" s="1324" t="s">
        <v>340</v>
      </c>
      <c r="C274" s="217" t="s">
        <v>352</v>
      </c>
    </row>
    <row r="275" spans="2:3">
      <c r="B275" s="1325"/>
      <c r="C275" s="218" t="s">
        <v>341</v>
      </c>
    </row>
    <row r="277" spans="2:3">
      <c r="B277" s="219" t="s">
        <v>342</v>
      </c>
      <c r="C277" s="211" t="s">
        <v>359</v>
      </c>
    </row>
    <row r="278" spans="2:3">
      <c r="B278" s="220"/>
      <c r="C278" s="212" t="s">
        <v>345</v>
      </c>
    </row>
    <row r="279" spans="2:3">
      <c r="B279" s="220"/>
      <c r="C279" s="212" t="s">
        <v>360</v>
      </c>
    </row>
    <row r="280" spans="2:3">
      <c r="B280" s="221"/>
      <c r="C280" s="213" t="s">
        <v>346</v>
      </c>
    </row>
    <row r="282" spans="2:3">
      <c r="B282" s="1321" t="s">
        <v>361</v>
      </c>
      <c r="C282" s="211">
        <v>0</v>
      </c>
    </row>
    <row r="283" spans="2:3">
      <c r="B283" s="1322"/>
      <c r="C283" s="212">
        <v>1</v>
      </c>
    </row>
    <row r="284" spans="2:3">
      <c r="B284" s="1322"/>
      <c r="C284" s="212">
        <v>2</v>
      </c>
    </row>
    <row r="285" spans="2:3">
      <c r="B285" s="1322"/>
      <c r="C285" s="212">
        <v>3</v>
      </c>
    </row>
    <row r="286" spans="2:3">
      <c r="B286" s="1322"/>
      <c r="C286" s="212">
        <v>4</v>
      </c>
    </row>
    <row r="287" spans="2:3">
      <c r="B287" s="1322"/>
      <c r="C287" s="212">
        <v>5</v>
      </c>
    </row>
    <row r="288" spans="2:3">
      <c r="B288" s="1322"/>
      <c r="C288" s="212">
        <v>6</v>
      </c>
    </row>
    <row r="289" spans="2:3">
      <c r="B289" s="1322"/>
      <c r="C289" s="212">
        <v>7</v>
      </c>
    </row>
    <row r="290" spans="2:3">
      <c r="B290" s="1322"/>
      <c r="C290" s="212">
        <v>8</v>
      </c>
    </row>
    <row r="291" spans="2:3">
      <c r="B291" s="1322"/>
      <c r="C291" s="212">
        <v>9</v>
      </c>
    </row>
    <row r="292" spans="2:3">
      <c r="B292" s="1322"/>
      <c r="C292" s="212">
        <v>10</v>
      </c>
    </row>
    <row r="293" spans="2:3">
      <c r="B293" s="1322"/>
      <c r="C293" s="212">
        <v>11</v>
      </c>
    </row>
    <row r="294" spans="2:3">
      <c r="B294" s="1322"/>
      <c r="C294" s="212">
        <v>12</v>
      </c>
    </row>
    <row r="295" spans="2:3">
      <c r="B295" s="1322"/>
      <c r="C295" s="212">
        <v>13</v>
      </c>
    </row>
    <row r="296" spans="2:3">
      <c r="B296" s="1322"/>
      <c r="C296" s="212">
        <v>14</v>
      </c>
    </row>
    <row r="297" spans="2:3">
      <c r="B297" s="1322"/>
      <c r="C297" s="212">
        <v>15</v>
      </c>
    </row>
    <row r="298" spans="2:3">
      <c r="B298" s="1323"/>
      <c r="C298" s="213">
        <v>16</v>
      </c>
    </row>
    <row r="300" spans="2:3">
      <c r="B300" s="1387" t="s">
        <v>476</v>
      </c>
      <c r="C300" s="155" t="s">
        <v>359</v>
      </c>
    </row>
    <row r="301" spans="2:3">
      <c r="B301" s="1388"/>
      <c r="C301" s="160" t="s">
        <v>345</v>
      </c>
    </row>
    <row r="302" spans="2:3">
      <c r="B302" s="1388"/>
      <c r="C302" s="160" t="s">
        <v>360</v>
      </c>
    </row>
    <row r="303" spans="2:3">
      <c r="B303" s="1388"/>
      <c r="C303" s="160" t="s">
        <v>346</v>
      </c>
    </row>
    <row r="304" spans="2:3">
      <c r="B304" s="1388"/>
      <c r="C304" s="160" t="s">
        <v>412</v>
      </c>
    </row>
    <row r="305" spans="2:6">
      <c r="B305" s="1388"/>
      <c r="C305" s="160" t="s">
        <v>362</v>
      </c>
    </row>
    <row r="306" spans="2:6">
      <c r="B306" s="1388"/>
      <c r="C306" s="160" t="s">
        <v>366</v>
      </c>
    </row>
    <row r="307" spans="2:6">
      <c r="B307" s="1388"/>
      <c r="C307" s="160" t="s">
        <v>363</v>
      </c>
    </row>
    <row r="308" spans="2:6">
      <c r="B308" s="1388"/>
      <c r="C308" s="160" t="s">
        <v>478</v>
      </c>
      <c r="F308" s="10"/>
    </row>
    <row r="309" spans="2:6">
      <c r="B309" s="1388"/>
      <c r="C309" s="160" t="s">
        <v>368</v>
      </c>
      <c r="F309" s="10"/>
    </row>
    <row r="310" spans="2:6">
      <c r="B310" s="1388"/>
      <c r="C310" s="160" t="s">
        <v>479</v>
      </c>
      <c r="F310" s="10"/>
    </row>
    <row r="311" spans="2:6">
      <c r="B311" s="1389"/>
      <c r="C311" s="166" t="s">
        <v>364</v>
      </c>
      <c r="F311" s="10"/>
    </row>
    <row r="313" spans="2:6">
      <c r="B313" s="1317" t="s">
        <v>389</v>
      </c>
      <c r="C313" s="139" t="s">
        <v>476</v>
      </c>
      <c r="D313" s="153">
        <v>18</v>
      </c>
    </row>
    <row r="314" spans="2:6">
      <c r="B314" s="1318"/>
      <c r="C314" s="140" t="s">
        <v>476</v>
      </c>
    </row>
    <row r="315" spans="2:6">
      <c r="B315" s="1318"/>
      <c r="C315" s="140" t="s">
        <v>476</v>
      </c>
    </row>
    <row r="316" spans="2:6">
      <c r="B316" s="1318"/>
      <c r="C316" s="140" t="s">
        <v>476</v>
      </c>
    </row>
    <row r="317" spans="2:6">
      <c r="B317" s="1318"/>
      <c r="C317" s="140" t="s">
        <v>476</v>
      </c>
    </row>
    <row r="318" spans="2:6">
      <c r="B318" s="1318"/>
      <c r="C318" s="140" t="s">
        <v>476</v>
      </c>
    </row>
    <row r="319" spans="2:6">
      <c r="B319" s="1318"/>
      <c r="C319" s="140" t="s">
        <v>476</v>
      </c>
    </row>
    <row r="320" spans="2:6">
      <c r="B320" s="1318"/>
      <c r="C320" s="140" t="s">
        <v>476</v>
      </c>
    </row>
    <row r="321" spans="2:3">
      <c r="B321" s="1318"/>
      <c r="C321" s="140" t="s">
        <v>476</v>
      </c>
    </row>
    <row r="322" spans="2:3">
      <c r="B322" s="1318"/>
      <c r="C322" s="140" t="s">
        <v>476</v>
      </c>
    </row>
    <row r="323" spans="2:3">
      <c r="B323" s="1318"/>
      <c r="C323" s="140" t="s">
        <v>476</v>
      </c>
    </row>
    <row r="324" spans="2:3">
      <c r="B324" s="1318"/>
      <c r="C324" s="140" t="s">
        <v>476</v>
      </c>
    </row>
    <row r="325" spans="2:3">
      <c r="B325" s="1318"/>
      <c r="C325" s="140" t="s">
        <v>476</v>
      </c>
    </row>
    <row r="326" spans="2:3">
      <c r="B326" s="1318"/>
      <c r="C326" s="140" t="s">
        <v>476</v>
      </c>
    </row>
    <row r="327" spans="2:3">
      <c r="B327" s="1318"/>
      <c r="C327" s="140" t="s">
        <v>476</v>
      </c>
    </row>
    <row r="328" spans="2:3">
      <c r="B328" s="1318"/>
      <c r="C328" s="140" t="s">
        <v>476</v>
      </c>
    </row>
    <row r="329" spans="2:3">
      <c r="B329" s="1318"/>
      <c r="C329" s="140" t="s">
        <v>476</v>
      </c>
    </row>
    <row r="330" spans="2:3">
      <c r="B330" s="1319"/>
      <c r="C330" s="141" t="s">
        <v>476</v>
      </c>
    </row>
    <row r="332" spans="2:3">
      <c r="B332" s="1291" t="s">
        <v>414</v>
      </c>
      <c r="C332" s="155">
        <v>1</v>
      </c>
    </row>
    <row r="333" spans="2:3">
      <c r="B333" s="1292"/>
      <c r="C333" s="160">
        <v>2</v>
      </c>
    </row>
    <row r="334" spans="2:3">
      <c r="B334" s="1292"/>
      <c r="C334" s="160">
        <v>3</v>
      </c>
    </row>
    <row r="335" spans="2:3">
      <c r="B335" s="1294"/>
      <c r="C335" s="166">
        <v>4</v>
      </c>
    </row>
    <row r="337" spans="2:4">
      <c r="B337" s="167" t="s">
        <v>415</v>
      </c>
      <c r="C337" s="12" t="str">
        <f ca="1">IF(AND('TS4500'!F8=Names4500!C122,Table4500!D18=0),"NumberFrames4500limited","NumberFrames4500")</f>
        <v>NumberFrames4500</v>
      </c>
    </row>
    <row r="339" spans="2:4">
      <c r="B339" s="1387" t="s">
        <v>416</v>
      </c>
      <c r="C339" s="155" t="str">
        <f>CONCATENATE("TS",'TS4500'!$F$7,SUBSTITUTE('TS4500'!$F$10," ","_"),"IO",IF(OR(AND(OR('TS4500'!$F268="L55",'TS4500'!$F268="L52",'TS4500'!$F268="L32"),Table4500!D287&gt;0),AND(OR('TS4500'!$F268="L25",'TS4500'!$F268="L22"),Table4500!D288&gt;0)),"Mixed",""))</f>
        <v>TSD25HDIO</v>
      </c>
      <c r="D339" s="153">
        <v>18</v>
      </c>
    </row>
    <row r="340" spans="2:4">
      <c r="B340" s="1388"/>
      <c r="C340" s="160" t="str">
        <f>CONCATENATE("TS",'TS4500'!$J$7,SUBSTITUTE('TS4500'!$J$10," ","_"),"IO",IF(OR(AND(OR('TS4500'!$F269="L55",'TS4500'!$F269="L52",'TS4500'!$F269="L32"),Table4500!D288&gt;0),AND(OR('TS4500'!$F269="L25",'TS4500'!$F269="L22"),Table4500!D289&gt;0)),"Mixed",""))</f>
        <v>TSL25HDIO</v>
      </c>
    </row>
    <row r="341" spans="2:4">
      <c r="B341" s="1388"/>
      <c r="C341" s="160" t="str">
        <f>CONCATENATE("TS",'TS4500'!$K$7,SUBSTITUTE('TS4500'!$K$10," ","_"),"IO",IF(OR(AND(OR('TS4500'!$F269="L55",'TS4500'!$F269="L52",'TS4500'!$F269="L32"),Table4500!D288&gt;0),AND(OR('TS4500'!$F269="L25",'TS4500'!$F269="L22"),Table4500!D289&gt;0)),"Mixed",""))</f>
        <v>TSD25HDIO</v>
      </c>
    </row>
    <row r="342" spans="2:4">
      <c r="B342" s="1388"/>
      <c r="C342" s="160" t="str">
        <f>CONCATENATE("TS",'TS4500'!$L$7,SUBSTITUTE('TS4500'!$L$10," ","_"),"IO",IF(OR(AND(OR('TS4500'!$F270="L55",'TS4500'!$F270="L52",'TS4500'!$F270="L32"),Table4500!D289&gt;0),AND(OR('TS4500'!$F270="L25",'TS4500'!$F270="L22"),Table4500!D290&gt;0)),"Mixed",""))</f>
        <v>TSD25HDIO</v>
      </c>
    </row>
    <row r="343" spans="2:4">
      <c r="B343" s="1388"/>
      <c r="C343" s="160" t="str">
        <f>CONCATENATE("TS",'TS4500'!$M$7,SUBSTITUTE('TS4500'!$M$10," ","_"),"IO",IF(OR(AND(OR('TS4500'!$F271="L55",'TS4500'!$F271="L52",'TS4500'!$F271="L32"),Table4500!D290&gt;0),AND(OR('TS4500'!$F271="L25",'TS4500'!$F271="L22"),Table4500!D291&gt;0)),"Mixed",""))</f>
        <v>TSS25HDIO</v>
      </c>
    </row>
    <row r="344" spans="2:4">
      <c r="B344" s="1388"/>
      <c r="C344" s="160" t="str">
        <f>CONCATENATE("TS",'TS4500'!$N$7,SUBSTITUTE('TS4500'!$N$10," ","_"),"IO",IF(OR(AND(OR('TS4500'!$F272="L55",'TS4500'!$F272="L52",'TS4500'!$F272="L32"),Table4500!D291&gt;0),AND(OR('TS4500'!$F272="L25",'TS4500'!$F272="L22"),Table4500!D292&gt;0)),"Mixed",""))</f>
        <v>TSS25HDIO</v>
      </c>
    </row>
    <row r="345" spans="2:4">
      <c r="B345" s="1388"/>
      <c r="C345" s="160" t="str">
        <f>CONCATENATE("TS",'TS4500'!$O$7,SUBSTITUTE('TS4500'!$O$10," ","_"),"IO",IF(OR(AND(OR('TS4500'!$F273="L55",'TS4500'!$F273="L52",'TS4500'!$F273="L32"),Table4500!D292&gt;0),AND(OR('TS4500'!$F273="L25",'TS4500'!$F273="L22"),Table4500!D293&gt;0)),"Mixed",""))</f>
        <v>TSS25HDIO</v>
      </c>
    </row>
    <row r="346" spans="2:4">
      <c r="B346" s="1388"/>
      <c r="C346" s="160" t="str">
        <f>CONCATENATE("TS",'TS4500'!$P$7,SUBSTITUTE('TS4500'!$P$10," ","_"),"IO",IF(OR(AND(OR('TS4500'!$F274="L55",'TS4500'!$F274="L52",'TS4500'!$F274="L32"),Table4500!D293&gt;0),AND(OR('TS4500'!$F274="L25",'TS4500'!$F274="L22"),Table4500!D294&gt;0)),"Mixed",""))</f>
        <v>TSS25BaseIO</v>
      </c>
    </row>
    <row r="347" spans="2:4">
      <c r="B347" s="1388"/>
      <c r="C347" s="160" t="str">
        <f>CONCATENATE("TS",'TS4500'!$Q$7,SUBSTITUTE('TS4500'!$Q$10," ","_"),"IO",IF(OR(AND(OR('TS4500'!$F275="L55",'TS4500'!$F275="L52",'TS4500'!$F275="L32"),Table4500!D294&gt;0),AND(OR('TS4500'!$F275="L25",'TS4500'!$F275="L22"),Table4500!D295&gt;0)),"Mixed",""))</f>
        <v>TSS25BaseIO</v>
      </c>
    </row>
    <row r="348" spans="2:4">
      <c r="B348" s="1388"/>
      <c r="C348" s="160" t="str">
        <f>CONCATENATE("TS",'TS4500'!$R$7,SUBSTITUTE('TS4500'!$R$10," ","_"),"IO",IF(OR(AND(OR('TS4500'!$F276="L55",'TS4500'!$F276="L52",'TS4500'!$F276="L32"),Table4500!D295&gt;0),AND(OR('TS4500'!$F276="L25",'TS4500'!$F276="L22"),Table4500!D296&gt;0)),"Mixed",""))</f>
        <v>TSS25BaseIO</v>
      </c>
    </row>
    <row r="349" spans="2:4">
      <c r="B349" s="1388"/>
      <c r="C349" s="160" t="str">
        <f>CONCATENATE("TS",'TS4500'!$S$7,SUBSTITUTE('TS4500'!$S$10," ","_"),"IO",IF(OR(AND(OR('TS4500'!$F277="L55",'TS4500'!$F277="L52",'TS4500'!$F277="L32"),Table4500!D296&gt;0),AND(OR('TS4500'!$F277="L25",'TS4500'!$F277="L22"),Table4500!D297&gt;0)),"Mixed",""))</f>
        <v>TSS25BaseIO</v>
      </c>
    </row>
    <row r="350" spans="2:4">
      <c r="B350" s="1388"/>
      <c r="C350" s="160" t="str">
        <f>CONCATENATE("TS",'TS4500'!$T$7,SUBSTITUTE('TS4500'!$T$10," ","_"),"IO",IF(OR(AND(OR('TS4500'!$F278="L55",'TS4500'!$F278="L52",'TS4500'!$F278="L32"),Table4500!D297&gt;0),AND(OR('TS4500'!$F278="L25",'TS4500'!$F278="L22"),Table4500!D298&gt;0)),"Mixed",""))</f>
        <v>TSS25BaseIO</v>
      </c>
    </row>
    <row r="351" spans="2:4">
      <c r="B351" s="1388"/>
      <c r="C351" s="160" t="str">
        <f>CONCATENATE("TS",'TS4500'!$U$7,SUBSTITUTE('TS4500'!$U$10," ","_"),"IO",IF(OR(AND(OR('TS4500'!$F279="L55",'TS4500'!$F279="L52",'TS4500'!$F279="L32"),Table4500!D298&gt;0),AND(OR('TS4500'!$F279="L25",'TS4500'!$F279="L22"),Table4500!D299&gt;0)),"Mixed",""))</f>
        <v>TSS55BaseIO</v>
      </c>
    </row>
    <row r="352" spans="2:4">
      <c r="B352" s="1388"/>
      <c r="C352" s="160" t="str">
        <f>CONCATENATE("TS",'TS4500'!$V$7,SUBSTITUTE('TS4500'!$V$10," ","_"),"IO",IF(OR(AND(OR('TS4500'!$F280="L55",'TS4500'!$F280="L52",'TS4500'!$F280="L32"),Table4500!D299&gt;0),AND(OR('TS4500'!$F280="L25",'TS4500'!$F280="L22"),Table4500!D300&gt;0)),"Mixed",""))</f>
        <v>TSD55HDIO</v>
      </c>
    </row>
    <row r="353" spans="2:4">
      <c r="B353" s="1388"/>
      <c r="C353" s="160" t="str">
        <f>CONCATENATE("TS",'TS4500'!$W$7,SUBSTITUTE('TS4500'!$W$10," ","_"),"IO",IF(OR(AND(OR('TS4500'!$F281="L55",'TS4500'!$F281="L52",'TS4500'!$F281="L32"),Table4500!D300&gt;0),AND(OR('TS4500'!$F281="L25",'TS4500'!$F281="L22"),Table4500!D301&gt;0)),"Mixed",""))</f>
        <v>TSD55HDIO</v>
      </c>
    </row>
    <row r="354" spans="2:4">
      <c r="B354" s="1388"/>
      <c r="C354" s="160" t="str">
        <f>CONCATENATE("TS",'TS4500'!$X$7,SUBSTITUTE('TS4500'!$X$10," ","_"),"IO",IF(OR(AND(OR('TS4500'!$F282="L55",'TS4500'!$F282="L52",'TS4500'!$F282="L32"),Table4500!D301&gt;0),AND(OR('TS4500'!$F282="L25",'TS4500'!$F282="L22"),Table4500!D302&gt;0)),"Mixed",""))</f>
        <v>TSS55HDIO</v>
      </c>
    </row>
    <row r="355" spans="2:4">
      <c r="B355" s="1388"/>
      <c r="C355" s="160" t="str">
        <f>CONCATENATE("TS",'TS4500'!$Y$7,SUBSTITUTE('TS4500'!$Y$10," ","_"),"IO",IF(OR(AND(OR('TS4500'!$F283="L55",'TS4500'!$F283="L52",'TS4500'!$F283="L32"),Table4500!D302&gt;0),AND(OR('TS4500'!$F283="L25",'TS4500'!$F283="L22"),Table4500!D303&gt;0)),"Mixed",""))</f>
        <v>TSD55HDIO</v>
      </c>
    </row>
    <row r="356" spans="2:4">
      <c r="B356" s="1389"/>
      <c r="C356" s="166" t="str">
        <f>CONCATENATE("TS",'TS4500'!$Z$7,SUBSTITUTE('TS4500'!$Z$10," ","_"),"IO",IF(OR(AND(OR('TS4500'!$F284="L55",'TS4500'!$F284="L52",'TS4500'!$F284="L32"),Table4500!D303&gt;0),AND(OR('TS4500'!$F284="L25",'TS4500'!$F284="L22"),Table4500!D304&gt;0)),"Mixed",""))</f>
        <v>TSD55HDIO</v>
      </c>
    </row>
    <row r="358" spans="2:4">
      <c r="B358" s="1291" t="s">
        <v>417</v>
      </c>
      <c r="C358" s="235" t="s">
        <v>428</v>
      </c>
    </row>
    <row r="359" spans="2:4">
      <c r="B359" s="1294"/>
      <c r="C359" s="235" t="s">
        <v>127</v>
      </c>
    </row>
    <row r="360" spans="2:4">
      <c r="B360" s="228"/>
      <c r="C360" s="234"/>
    </row>
    <row r="361" spans="2:4">
      <c r="B361" s="167" t="s">
        <v>418</v>
      </c>
      <c r="C361" s="236" t="s">
        <v>428</v>
      </c>
    </row>
    <row r="363" spans="2:4">
      <c r="B363" s="167" t="s">
        <v>419</v>
      </c>
      <c r="C363" s="236" t="s">
        <v>428</v>
      </c>
    </row>
    <row r="364" spans="2:4">
      <c r="B364" s="168"/>
      <c r="C364" s="172" t="s">
        <v>127</v>
      </c>
    </row>
    <row r="365" spans="2:4">
      <c r="B365" s="167" t="s">
        <v>420</v>
      </c>
      <c r="C365" s="236" t="s">
        <v>428</v>
      </c>
    </row>
    <row r="367" spans="2:4">
      <c r="B367" s="1387" t="s">
        <v>422</v>
      </c>
      <c r="C367" s="155" t="str">
        <f>CONCATENATE("TS",'TS4500'!$F$7,IF('TS4500'!F5=1,"ODS","ODM"))</f>
        <v>TSD25ODM</v>
      </c>
      <c r="D367" s="153">
        <v>18</v>
      </c>
    </row>
    <row r="368" spans="2:4">
      <c r="B368" s="1388"/>
      <c r="C368" s="160" t="str">
        <f>CONCATENATE("TS",'TS4500'!$J$7,IF('TS4500'!F5=1,"ODM","ODM"))</f>
        <v>TSL25ODM</v>
      </c>
    </row>
    <row r="369" spans="2:3">
      <c r="B369" s="1388"/>
      <c r="C369" s="160" t="str">
        <f>CONCATENATE("TS",'TS4500'!$K$7,IF('TS4500'!F5=1,"ODM","ODM"))</f>
        <v>TSD25ODM</v>
      </c>
    </row>
    <row r="370" spans="2:3">
      <c r="B370" s="1388"/>
      <c r="C370" s="160" t="str">
        <f>CONCATENATE("TS",'TS4500'!$L$7,IF('TS4500'!F5=1,"ODM","ODM"))</f>
        <v>TSD25ODM</v>
      </c>
    </row>
    <row r="371" spans="2:3">
      <c r="B371" s="1388"/>
      <c r="C371" s="160" t="str">
        <f>CONCATENATE("TS",'TS4500'!$M$7,IF('TS4500'!F5=1,"ODM","ODM"))</f>
        <v>TSS25ODM</v>
      </c>
    </row>
    <row r="372" spans="2:3">
      <c r="B372" s="1388"/>
      <c r="C372" s="160" t="str">
        <f>CONCATENATE("TS",'TS4500'!$N$7,IF('TS4500'!F5=1,"ODM","ODM"))</f>
        <v>TSS25ODM</v>
      </c>
    </row>
    <row r="373" spans="2:3">
      <c r="B373" s="1388"/>
      <c r="C373" s="160" t="str">
        <f>CONCATENATE("TS",'TS4500'!$O$7,IF('TS4500'!F5=1,"ODM","ODM"))</f>
        <v>TSS25ODM</v>
      </c>
    </row>
    <row r="374" spans="2:3">
      <c r="B374" s="1388"/>
      <c r="C374" s="160" t="str">
        <f>CONCATENATE("TS",'TS4500'!$P$7,IF('TS4500'!F5=1,"ODM","ODM"))</f>
        <v>TSS25ODM</v>
      </c>
    </row>
    <row r="375" spans="2:3">
      <c r="B375" s="1388"/>
      <c r="C375" s="160" t="str">
        <f>CONCATENATE("TS",'TS4500'!$Q$7,IF('TS4500'!F5=1,"ODM","ODM"))</f>
        <v>TSS25ODM</v>
      </c>
    </row>
    <row r="376" spans="2:3">
      <c r="B376" s="1388"/>
      <c r="C376" s="160" t="str">
        <f>CONCATENATE("TS",'TS4500'!$R$7,IF('TS4500'!F5=1,"ODM","ODM"))</f>
        <v>TSS25ODM</v>
      </c>
    </row>
    <row r="377" spans="2:3">
      <c r="B377" s="1388"/>
      <c r="C377" s="160" t="str">
        <f>CONCATENATE("TS",'TS4500'!$S$7,IF('TS4500'!F5=1,"ODM","ODM"))</f>
        <v>TSS25ODM</v>
      </c>
    </row>
    <row r="378" spans="2:3">
      <c r="B378" s="1388"/>
      <c r="C378" s="160" t="str">
        <f>CONCATENATE("TS",'TS4500'!$T$7,IF('TS4500'!F5=1,"ODM","ODM"))</f>
        <v>TSS25ODM</v>
      </c>
    </row>
    <row r="379" spans="2:3">
      <c r="B379" s="1388"/>
      <c r="C379" s="160" t="str">
        <f>CONCATENATE("TS",'TS4500'!$U$7,IF('TS4500'!F5=1,"ODM","ODM"))</f>
        <v>TSS55ODM</v>
      </c>
    </row>
    <row r="380" spans="2:3">
      <c r="B380" s="1388"/>
      <c r="C380" s="160" t="str">
        <f>CONCATENATE("TS",'TS4500'!$V$7,IF('TS4500'!F5=1,"ODM","ODM"))</f>
        <v>TSD55ODM</v>
      </c>
    </row>
    <row r="381" spans="2:3">
      <c r="B381" s="1388"/>
      <c r="C381" s="160" t="str">
        <f>CONCATENATE("TS",'TS4500'!$W$7,IF('TS4500'!F5=1,"ODM","ODM"))</f>
        <v>TSD55ODM</v>
      </c>
    </row>
    <row r="382" spans="2:3">
      <c r="B382" s="1388"/>
      <c r="C382" s="160" t="str">
        <f>CONCATENATE("TS",'TS4500'!$X$7,IF('TS4500'!F5=1,"ODM","ODM"))</f>
        <v>TSS55ODM</v>
      </c>
    </row>
    <row r="383" spans="2:3">
      <c r="B383" s="1388"/>
      <c r="C383" s="160" t="str">
        <f>CONCATENATE("TS",'TS4500'!$Y$7,IF('TS4500'!F5=1,"ODM","ODM"))</f>
        <v>TSD55ODM</v>
      </c>
    </row>
    <row r="384" spans="2:3">
      <c r="B384" s="1389"/>
      <c r="C384" s="166" t="str">
        <f>CONCATENATE("TS",'TS4500'!$Z$7,IF('TS4500'!F5=1,"ODM","ODM"))</f>
        <v>TSD55ODM</v>
      </c>
    </row>
    <row r="386" spans="2:4">
      <c r="B386" s="157" t="s">
        <v>423</v>
      </c>
      <c r="C386" s="155" t="s">
        <v>201</v>
      </c>
    </row>
    <row r="387" spans="2:4">
      <c r="B387" s="165"/>
      <c r="C387" s="166" t="s">
        <v>372</v>
      </c>
    </row>
    <row r="389" spans="2:4">
      <c r="B389" s="157" t="s">
        <v>424</v>
      </c>
      <c r="C389" s="155" t="s">
        <v>201</v>
      </c>
    </row>
    <row r="390" spans="2:4">
      <c r="B390" s="165"/>
      <c r="C390" s="166" t="s">
        <v>372</v>
      </c>
    </row>
    <row r="392" spans="2:4">
      <c r="B392" s="157" t="s">
        <v>374</v>
      </c>
      <c r="C392" s="155" t="s">
        <v>201</v>
      </c>
    </row>
    <row r="393" spans="2:4">
      <c r="B393" s="165"/>
      <c r="C393" s="166" t="s">
        <v>372</v>
      </c>
    </row>
    <row r="395" spans="2:4">
      <c r="B395" s="157" t="s">
        <v>382</v>
      </c>
      <c r="C395" s="155" t="s">
        <v>201</v>
      </c>
    </row>
    <row r="396" spans="2:4">
      <c r="B396" s="165"/>
      <c r="C396" s="166" t="s">
        <v>372</v>
      </c>
    </row>
    <row r="398" spans="2:4">
      <c r="B398" s="1317" t="s">
        <v>391</v>
      </c>
      <c r="C398" s="139" t="str">
        <f>IF(      OR('TS4500'!F$7="S25",'TS4500'!F$7="S55"),"Sx5frameNOIO",    IF(       OR('TS4500'!F$7="L55",'TS4500'!F$7="L25"),"Lx5frameIO",    CONCATENATE("TSDframe",IF('TS4500'!F$12=1,"IOStation4500","NOIO4500"))))</f>
        <v>TSDframeIOStation4500</v>
      </c>
      <c r="D398" s="153">
        <v>18</v>
      </c>
    </row>
    <row r="399" spans="2:4">
      <c r="B399" s="1318"/>
      <c r="C399" s="140" t="str">
        <f>IF(      OR('TS4500'!J$7="S25",'TS4500'!J$7="S55"),"Sx5frameNOIO",    IF(       OR('TS4500'!J$7="L55",'TS4500'!J$7="L25"),"Lx5frameIO",    CONCATENATE("TSDframe",IF('TS4500'!J$12=1,"IOStation4500","NOIO4500"))))</f>
        <v>Lx5frameIO</v>
      </c>
    </row>
    <row r="400" spans="2:4">
      <c r="B400" s="1318"/>
      <c r="C400" s="140" t="str">
        <f>IF(      OR('TS4500'!K$7="S25",'TS4500'!K$7="S55"),"Sx5frameNOIO",    IF(       OR('TS4500'!K$7="L55",'TS4500'!K$7="L25"),"Lx5frameIO",    CONCATENATE("TSDframe",IF('TS4500'!K$12=1,"IOStation4500","NOIO4500"))))</f>
        <v>TSDframeIOStation4500</v>
      </c>
    </row>
    <row r="401" spans="2:3">
      <c r="B401" s="1318"/>
      <c r="C401" s="140" t="str">
        <f>IF(      OR('TS4500'!L$7="S25",'TS4500'!L$7="S55"),"Sx5frameNOIO",    IF(       OR('TS4500'!L$7="L55",'TS4500'!L$7="L25"),"Lx5frameIO",    CONCATENATE("TSDframe",IF('TS4500'!L$12=1,"IOStation4500","NOIO4500"))))</f>
        <v>TSDframeIOStation4500</v>
      </c>
    </row>
    <row r="402" spans="2:3">
      <c r="B402" s="1318"/>
      <c r="C402" s="140" t="str">
        <f>IF(      OR('TS4500'!M$7="S25",'TS4500'!M$7="S55"),"Sx5frameNOIO",    IF(       OR('TS4500'!M$7="L55",'TS4500'!M$7="L25"),"Lx5frameIO",    CONCATENATE("TSDframe",IF('TS4500'!M$12=1,"IOStation4500","NOIO4500"))))</f>
        <v>Sx5frameNOIO</v>
      </c>
    </row>
    <row r="403" spans="2:3">
      <c r="B403" s="1318"/>
      <c r="C403" s="140" t="str">
        <f>IF(      OR('TS4500'!N$7="S25",'TS4500'!N$7="S55"),"Sx5frameNOIO",    IF(       OR('TS4500'!N$7="L55",'TS4500'!N$7="L25"),"Lx5frameIO",    CONCATENATE("TSDframe",IF('TS4500'!N$12=1,"IOStation4500","NOIO4500"))))</f>
        <v>Sx5frameNOIO</v>
      </c>
    </row>
    <row r="404" spans="2:3">
      <c r="B404" s="1318"/>
      <c r="C404" s="140" t="str">
        <f>IF(      OR('TS4500'!O$7="S25",'TS4500'!O$7="S55"),"Sx5frameNOIO",    IF(       OR('TS4500'!O$7="L55",'TS4500'!O$7="L25"),"Lx5frameIO",    CONCATENATE("TSDframe",IF('TS4500'!O$12=1,"IOStation4500","NOIO4500"))))</f>
        <v>Sx5frameNOIO</v>
      </c>
    </row>
    <row r="405" spans="2:3">
      <c r="B405" s="1318"/>
      <c r="C405" s="140" t="str">
        <f>IF(      OR('TS4500'!P$7="S25",'TS4500'!P$7="S55"),"Sx5frameNOIO",    IF(       OR('TS4500'!P$7="L55",'TS4500'!P$7="L25"),"Lx5frameIO",    CONCATENATE("TSDframe",IF('TS4500'!P$12=1,"IOStation4500","NOIO4500"))))</f>
        <v>Sx5frameNOIO</v>
      </c>
    </row>
    <row r="406" spans="2:3">
      <c r="B406" s="1318"/>
      <c r="C406" s="140" t="str">
        <f>IF(      OR('TS4500'!Q$7="S25",'TS4500'!Q$7="S55"),"Sx5frameNOIO",    IF(       OR('TS4500'!Q$7="L55",'TS4500'!Q$7="L25"),"Lx5frameIO",    CONCATENATE("TSDframe",IF('TS4500'!Q$12=1,"IOStation4500","NOIO4500"))))</f>
        <v>Sx5frameNOIO</v>
      </c>
    </row>
    <row r="407" spans="2:3">
      <c r="B407" s="1318"/>
      <c r="C407" s="140" t="str">
        <f>IF(      OR('TS4500'!R$7="S25",'TS4500'!R$7="S55"),"Sx5frameNOIO",    IF(       OR('TS4500'!R$7="L55",'TS4500'!R$7="L25"),"Lx5frameIO",    CONCATENATE("TSDframe",IF('TS4500'!R$12=1,"IOStation4500","NOIO4500"))))</f>
        <v>Sx5frameNOIO</v>
      </c>
    </row>
    <row r="408" spans="2:3">
      <c r="B408" s="1318"/>
      <c r="C408" s="140" t="str">
        <f>IF(      OR('TS4500'!S$7="S25",'TS4500'!S$7="S55"),"Sx5frameNOIO",    IF(       OR('TS4500'!S$7="L55",'TS4500'!S$7="L25"),"Lx5frameIO",    CONCATENATE("TSDframe",IF('TS4500'!S$12=1,"IOStation4500","NOIO4500"))))</f>
        <v>Sx5frameNOIO</v>
      </c>
    </row>
    <row r="409" spans="2:3">
      <c r="B409" s="1318"/>
      <c r="C409" s="140" t="str">
        <f>IF(      OR('TS4500'!T$7="S25",'TS4500'!T$7="S55"),"Sx5frameNOIO",    IF(       OR('TS4500'!T$7="L55",'TS4500'!T$7="L25"),"Lx5frameIO",    CONCATENATE("TSDframe",IF('TS4500'!T$12=1,"IOStation4500","NOIO4500"))))</f>
        <v>Sx5frameNOIO</v>
      </c>
    </row>
    <row r="410" spans="2:3">
      <c r="B410" s="1318"/>
      <c r="C410" s="140" t="str">
        <f>IF(      OR('TS4500'!U$7="S25",'TS4500'!U$7="S55"),"Sx5frameNOIO",    IF(       OR('TS4500'!U$7="L55",'TS4500'!U$7="L25"),"Lx5frameIO",    CONCATENATE("TSDframe",IF('TS4500'!U$12=1,"IOStation4500","NOIO4500"))))</f>
        <v>Sx5frameNOIO</v>
      </c>
    </row>
    <row r="411" spans="2:3">
      <c r="B411" s="1318"/>
      <c r="C411" s="140" t="str">
        <f>IF(      OR('TS4500'!V$7="S25",'TS4500'!V$7="S55"),"Sx5frameNOIO",    IF(       OR('TS4500'!V$7="L55",'TS4500'!V$7="L25"),"Lx5frameIO",    CONCATENATE("TSDframe",IF('TS4500'!V$12=1,"IOStation4500","NOIO4500"))))</f>
        <v>TSDframeNOIO4500</v>
      </c>
    </row>
    <row r="412" spans="2:3">
      <c r="B412" s="1318"/>
      <c r="C412" s="140" t="str">
        <f>IF(      OR('TS4500'!W$7="S25",'TS4500'!W$7="S55"),"Sx5frameNOIO",    IF(       OR('TS4500'!W$7="L55",'TS4500'!W$7="L25"),"Lx5frameIO",    CONCATENATE("TSDframe",IF('TS4500'!W$12=1,"IOStation4500","NOIO4500"))))</f>
        <v>TSDframeNOIO4500</v>
      </c>
    </row>
    <row r="413" spans="2:3">
      <c r="B413" s="1318"/>
      <c r="C413" s="140" t="str">
        <f>IF(      OR('TS4500'!X$7="S25",'TS4500'!X$7="S55"),"Sx5frameNOIO",    IF(       OR('TS4500'!X$7="L55",'TS4500'!X$7="L25"),"Lx5frameIO",    CONCATENATE("TSDframe",IF('TS4500'!X$12=1,"IOStation4500","NOIO4500"))))</f>
        <v>Sx5frameNOIO</v>
      </c>
    </row>
    <row r="414" spans="2:3">
      <c r="B414" s="1318"/>
      <c r="C414" s="140" t="str">
        <f>IF(      OR('TS4500'!Y$7="S25",'TS4500'!Y$7="S55"),"Sx5frameNOIO",    IF(       OR('TS4500'!Y$7="L55",'TS4500'!Y$7="L25"),"Lx5frameIO",    CONCATENATE("TSDframe",IF('TS4500'!Y$12=1,"IOStation4500","NOIO4500"))))</f>
        <v>TSDframeNOIO4500</v>
      </c>
    </row>
    <row r="415" spans="2:3">
      <c r="B415" s="1319"/>
      <c r="C415" s="141" t="str">
        <f>IF(      OR('TS4500'!Z$7="S25",'TS4500'!Z$7="S55"),"Sx5frameNOIO",    IF(       OR('TS4500'!Z$7="L55",'TS4500'!Z$7="L25"),"Lx5frameIO",    CONCATENATE("TSDframe",IF('TS4500'!Z$12=1,"IOStation4500","NOIO4500"))))</f>
        <v>TSDframeNOIO4500</v>
      </c>
    </row>
    <row r="417" spans="2:5">
      <c r="B417" s="169" t="s">
        <v>425</v>
      </c>
      <c r="C417" s="236" t="s">
        <v>127</v>
      </c>
    </row>
    <row r="419" spans="2:5">
      <c r="B419" s="157" t="s">
        <v>426</v>
      </c>
      <c r="C419" s="155" t="s">
        <v>201</v>
      </c>
    </row>
    <row r="420" spans="2:5">
      <c r="B420" s="165"/>
      <c r="C420" s="166" t="s">
        <v>372</v>
      </c>
    </row>
    <row r="422" spans="2:5">
      <c r="B422" s="157" t="s">
        <v>427</v>
      </c>
      <c r="C422" s="155" t="s">
        <v>201</v>
      </c>
    </row>
    <row r="423" spans="2:5">
      <c r="B423" s="165"/>
      <c r="C423" s="166" t="s">
        <v>372</v>
      </c>
    </row>
    <row r="425" spans="2:5">
      <c r="B425" s="1317" t="s">
        <v>409</v>
      </c>
      <c r="C425" s="173" t="str">
        <f ca="1">IF(AND(AND('TS4500'!G$5="HA",OR('TS4500'!F$7="D25",'TS4500'!F$7="D55")),Table4500!$E$33&lt;=Table4500!$E$32),"NumberDrivesSVBA4500",IF(OR('TS4500'!F$7="S25",'TS4500'!F$7="S55"),"NumberDrives04500",IF(AND(OR('TS4500'!F$7="L25",'TS4500'!F$7="L55"),Table4500!$E$33&lt;=Table4500!$E$32),"NumberDrivesL4500",IF(AND(OR('TS4500'!F$7="D25",'TS4500'!F$7="D55"),Table4500!$E$33&lt;=Table4500!$E$32),"NumberDrivesL4500","NumberDrives04500"))))</f>
        <v>NumberDrivesSVBA4500</v>
      </c>
      <c r="D425" s="153">
        <v>18</v>
      </c>
      <c r="E425" s="323" t="str">
        <f ca="1">IF(Table4500!$E$33&lt;=Table4500!$E$32,"NumberDrivesL4500","NumberDrives04500")</f>
        <v>NumberDrivesL4500</v>
      </c>
    </row>
    <row r="426" spans="2:5">
      <c r="B426" s="1318"/>
      <c r="C426" s="174" t="str">
        <f ca="1">IF(AND('TS4500'!J$6='TS4500'!$F$5,OR('TS4500'!J$7="D25",'TS4500'!J$7="D55",'TS4500'!J$7="L25",'TS4500'!J$7="L55"),Table4500!$E$33&lt;=Table4500!$E$32,'TS4500'!$G$5="HA"),"NumberDrivesSVBB4500",IF(OR('TS4500'!J$7="S25",'TS4500'!J$7="S55"),"NumberDrives04500",IF(AND(OR('TS4500'!J$7="L25",'TS4500'!J$7="L55"),Table4500!$E$33&lt;=Table4500!$E$32),"NumberDrivesD4500",IF(AND(OR('TS4500'!J$7="D25",'TS4500'!J$7="D55"),Table4500!$E$33&lt;=Table4500!$E$32),"NumberDrivesD4500","NumberDrives04500"))))</f>
        <v>NumberDrivesD4500</v>
      </c>
    </row>
    <row r="427" spans="2:5">
      <c r="B427" s="1318"/>
      <c r="C427" s="174" t="str">
        <f ca="1">IF(AND('TS4500'!K$6='TS4500'!$F$5,OR('TS4500'!K$7="D25",'TS4500'!K$7="D55",'TS4500'!K$7="L25",'TS4500'!K$7="L55"),Table4500!$E$33&lt;=Table4500!$E$32,'TS4500'!$G$5="HA"),"NumberDrivesSVBB4500",IF(OR('TS4500'!K$7="S25",'TS4500'!K$7="S55"),"NumberDrives04500",IF(AND(OR('TS4500'!K$7="L25",'TS4500'!K$7="L55"),Table4500!$E$33&lt;=Table4500!$E$32),"NumberDrivesD4500",IF(AND(OR('TS4500'!K$7="D25",'TS4500'!K$7="D55"),Table4500!$E$33&lt;=Table4500!$E$32),"NumberDrivesD4500","NumberDrives04500"))))</f>
        <v>NumberDrivesD4500</v>
      </c>
    </row>
    <row r="428" spans="2:5">
      <c r="B428" s="1318"/>
      <c r="C428" s="174" t="str">
        <f ca="1">IF(AND('TS4500'!L$6='TS4500'!$F$5,OR('TS4500'!L$7="D25",'TS4500'!L$7="D55",'TS4500'!L$7="L25",'TS4500'!L$7="L55"),Table4500!$E$33&lt;=Table4500!$E$32,'TS4500'!$G$5="HA"),"NumberDrivesSVBB4500",IF(OR('TS4500'!L$7="S25",'TS4500'!L$7="S55"),"NumberDrives04500",IF(AND(OR('TS4500'!L$7="L25",'TS4500'!L$7="L55"),Table4500!$E$33&lt;=Table4500!$E$32),"NumberDrivesD4500",IF(AND(OR('TS4500'!L$7="D25",'TS4500'!L$7="D55"),Table4500!$E$33&lt;=Table4500!$E$32),"NumberDrivesD4500","NumberDrives04500"))))</f>
        <v>NumberDrivesSVBB4500</v>
      </c>
    </row>
    <row r="429" spans="2:5">
      <c r="B429" s="1318"/>
      <c r="C429" s="174" t="str">
        <f ca="1">IF(AND('TS4500'!M$6='TS4500'!$F$5,OR('TS4500'!M$7="D25",'TS4500'!M$7="D55",'TS4500'!M$7="L25",'TS4500'!M$7="L55"),Table4500!$E$33&lt;=Table4500!$E$32,'TS4500'!$G$5="HA"),"NumberDrivesSVBB4500",IF(OR('TS4500'!M$7="S25",'TS4500'!M$7="S55"),"NumberDrives04500",IF(AND(OR('TS4500'!M$7="L25",'TS4500'!M$7="L55"),Table4500!$E$33&lt;=Table4500!$E$32),"NumberDrivesD4500",IF(AND(OR('TS4500'!M$7="D25",'TS4500'!M$7="D55"),Table4500!$E$33&lt;=Table4500!$E$32),"NumberDrivesD4500","NumberDrives04500"))))</f>
        <v>NumberDrives04500</v>
      </c>
    </row>
    <row r="430" spans="2:5">
      <c r="B430" s="1318"/>
      <c r="C430" s="174" t="str">
        <f ca="1">IF(AND('TS4500'!N$6='TS4500'!$F$5,OR('TS4500'!N$7="D25",'TS4500'!N$7="D55",'TS4500'!N$7="L25",'TS4500'!N$7="L55"),Table4500!$E$33&lt;=Table4500!$E$32,'TS4500'!$G$5="HA"),"NumberDrivesSVBB4500",IF(OR('TS4500'!N$7="S25",'TS4500'!N$7="S55"),"NumberDrives04500",IF(AND(OR('TS4500'!N$7="L25",'TS4500'!N$7="L55"),Table4500!$E$33&lt;=Table4500!$E$32),"NumberDrivesD4500",IF(AND(OR('TS4500'!N$7="D25",'TS4500'!N$7="D55"),Table4500!$E$33&lt;=Table4500!$E$32),"NumberDrivesD4500","NumberDrives04500"))))</f>
        <v>NumberDrives04500</v>
      </c>
    </row>
    <row r="431" spans="2:5">
      <c r="B431" s="1318"/>
      <c r="C431" s="174" t="str">
        <f ca="1">IF(AND('TS4500'!O$6='TS4500'!$F$5,OR('TS4500'!O$7="D25",'TS4500'!O$7="D55",'TS4500'!O$7="L25",'TS4500'!O$7="L55"),Table4500!$E$33&lt;=Table4500!$E$32,'TS4500'!$G$5="HA"),"NumberDrivesSVBB4500",IF(OR('TS4500'!O$7="S25",'TS4500'!O$7="S55"),"NumberDrives04500",IF(AND(OR('TS4500'!O$7="L25",'TS4500'!O$7="L55"),Table4500!$E$33&lt;=Table4500!$E$32),"NumberDrivesD4500",IF(AND(OR('TS4500'!O$7="D25",'TS4500'!O$7="D55"),Table4500!$E$33&lt;=Table4500!$E$32),"NumberDrivesD4500","NumberDrives04500"))))</f>
        <v>NumberDrives04500</v>
      </c>
    </row>
    <row r="432" spans="2:5">
      <c r="B432" s="1318"/>
      <c r="C432" s="174" t="str">
        <f ca="1">IF(AND('TS4500'!P$6='TS4500'!$F$5,OR('TS4500'!P$7="D25",'TS4500'!P$7="D55",'TS4500'!P$7="L25",'TS4500'!P$7="L55"),Table4500!$E$33&lt;=Table4500!$E$32,'TS4500'!$G$5="HA"),"NumberDrivesSVBB4500",IF(OR('TS4500'!P$7="S25",'TS4500'!P$7="S55"),"NumberDrives04500",IF(AND(OR('TS4500'!P$7="L25",'TS4500'!P$7="L55"),Table4500!$E$33&lt;=Table4500!$E$32),"NumberDrivesD4500",IF(AND(OR('TS4500'!P$7="D25",'TS4500'!P$7="D55"),Table4500!$E$33&lt;=Table4500!$E$32),"NumberDrivesD4500","NumberDrives04500"))))</f>
        <v>NumberDrives04500</v>
      </c>
    </row>
    <row r="433" spans="2:3">
      <c r="B433" s="1318"/>
      <c r="C433" s="174" t="str">
        <f ca="1">IF(AND('TS4500'!Q$6='TS4500'!$F$5,OR('TS4500'!Q$7="D25",'TS4500'!Q$7="D55",'TS4500'!Q$7="L25",'TS4500'!Q$7="L55"),Table4500!$E$33&lt;=Table4500!$E$32,'TS4500'!$G$5="HA"),"NumberDrivesSVBB4500",IF(OR('TS4500'!Q$7="S25",'TS4500'!Q$7="S55"),"NumberDrives04500",IF(AND(OR('TS4500'!Q$7="L25",'TS4500'!Q$7="L55"),Table4500!$E$33&lt;=Table4500!$E$32),"NumberDrivesD4500",IF(AND(OR('TS4500'!Q$7="D25",'TS4500'!Q$7="D55"),Table4500!$E$33&lt;=Table4500!$E$32),"NumberDrivesD4500","NumberDrives04500"))))</f>
        <v>NumberDrives04500</v>
      </c>
    </row>
    <row r="434" spans="2:3">
      <c r="B434" s="1318"/>
      <c r="C434" s="174" t="str">
        <f ca="1">IF(AND('TS4500'!R$6='TS4500'!$F$5,OR('TS4500'!R$7="D25",'TS4500'!R$7="D55",'TS4500'!R$7="L25",'TS4500'!R$7="L55"),Table4500!$E$33&lt;=Table4500!$E$32,'TS4500'!$G$5="HA"),"NumberDrivesSVBB4500",IF(OR('TS4500'!R$7="S25",'TS4500'!R$7="S55"),"NumberDrives04500",IF(AND(OR('TS4500'!R$7="L25",'TS4500'!R$7="L55"),Table4500!$E$33&lt;=Table4500!$E$32),"NumberDrivesD4500",IF(AND(OR('TS4500'!R$7="D25",'TS4500'!R$7="D55"),Table4500!$E$33&lt;=Table4500!$E$32),"NumberDrivesD4500","NumberDrives04500"))))</f>
        <v>NumberDrives04500</v>
      </c>
    </row>
    <row r="435" spans="2:3">
      <c r="B435" s="1318"/>
      <c r="C435" s="174" t="str">
        <f ca="1">IF(AND('TS4500'!S$6='TS4500'!$F$5,OR('TS4500'!S$7="D25",'TS4500'!S$7="D55",'TS4500'!S$7="L25",'TS4500'!S$7="L55"),Table4500!$E$33&lt;=Table4500!$E$32,'TS4500'!$G$5="HA"),"NumberDrivesSVBB4500",IF(OR('TS4500'!S$7="S25",'TS4500'!S$7="S55"),"NumberDrives04500",IF(AND(OR('TS4500'!S$7="L25",'TS4500'!S$7="L55"),Table4500!$E$33&lt;=Table4500!$E$32),"NumberDrivesD4500",IF(AND(OR('TS4500'!S$7="D25",'TS4500'!S$7="D55"),Table4500!$E$33&lt;=Table4500!$E$32),"NumberDrivesD4500","NumberDrives04500"))))</f>
        <v>NumberDrives04500</v>
      </c>
    </row>
    <row r="436" spans="2:3">
      <c r="B436" s="1318"/>
      <c r="C436" s="174" t="str">
        <f ca="1">IF(AND('TS4500'!T$6='TS4500'!$F$5,OR('TS4500'!T$7="D25",'TS4500'!T$7="D55",'TS4500'!T$7="L25",'TS4500'!T$7="L55"),Table4500!$E$33&lt;=Table4500!$E$32,'TS4500'!$G$5="HA"),"NumberDrivesSVBB4500",IF(OR('TS4500'!T$7="S25",'TS4500'!T$7="S55"),"NumberDrives04500",IF(AND(OR('TS4500'!T$7="L25",'TS4500'!T$7="L55"),Table4500!$E$33&lt;=Table4500!$E$32),"NumberDrivesD4500",IF(AND(OR('TS4500'!T$7="D25",'TS4500'!T$7="D55"),Table4500!$E$33&lt;=Table4500!$E$32),"NumberDrivesD4500","NumberDrives04500"))))</f>
        <v>NumberDrives04500</v>
      </c>
    </row>
    <row r="437" spans="2:3">
      <c r="B437" s="1318"/>
      <c r="C437" s="174" t="str">
        <f ca="1">IF(AND('TS4500'!U$6='TS4500'!$F$5,OR('TS4500'!U$7="D25",'TS4500'!U$7="D55",'TS4500'!U$7="L25",'TS4500'!U$7="L55"),Table4500!$E$33&lt;=Table4500!$E$32,'TS4500'!$G$5="HA"),"NumberDrivesSVBB4500",IF(OR('TS4500'!U$7="S25",'TS4500'!U$7="S55"),"NumberDrives04500",IF(AND(OR('TS4500'!U$7="L25",'TS4500'!U$7="L55"),Table4500!$E$33&lt;=Table4500!$E$32),"NumberDrivesD4500",IF(AND(OR('TS4500'!U$7="D25",'TS4500'!U$7="D55"),Table4500!$E$33&lt;=Table4500!$E$32),"NumberDrivesD4500","NumberDrives04500"))))</f>
        <v>NumberDrives04500</v>
      </c>
    </row>
    <row r="438" spans="2:3">
      <c r="B438" s="1318"/>
      <c r="C438" s="174" t="str">
        <f ca="1">IF(AND('TS4500'!V$6='TS4500'!$F$5,OR('TS4500'!V$7="D25",'TS4500'!V$7="D55",'TS4500'!V$7="L25",'TS4500'!V$7="L55"),Table4500!$E$33&lt;=Table4500!$E$32,'TS4500'!$G$5="HA"),"NumberDrivesSVBB4500",IF(OR('TS4500'!V$7="S25",'TS4500'!V$7="S55"),"NumberDrives04500",IF(AND(OR('TS4500'!V$7="L25",'TS4500'!V$7="L55"),Table4500!$E$33&lt;=Table4500!$E$32),"NumberDrivesD4500",IF(AND(OR('TS4500'!V$7="D25",'TS4500'!V$7="D55"),Table4500!$E$33&lt;=Table4500!$E$32),"NumberDrivesD4500","NumberDrives04500"))))</f>
        <v>NumberDrivesD4500</v>
      </c>
    </row>
    <row r="439" spans="2:3">
      <c r="B439" s="1318"/>
      <c r="C439" s="174" t="str">
        <f ca="1">IF(AND('TS4500'!W$6='TS4500'!$F$5,OR('TS4500'!W$7="D25",'TS4500'!W$7="D55",'TS4500'!W$7="L25",'TS4500'!W$7="L55"),Table4500!$E$33&lt;=Table4500!$E$32,'TS4500'!$G$5="HA"),"NumberDrivesSVBB4500",IF(OR('TS4500'!W$7="S25",'TS4500'!W$7="S55"),"NumberDrives04500",IF(AND(OR('TS4500'!W$7="L25",'TS4500'!W$7="L55"),Table4500!$E$33&lt;=Table4500!$E$32),"NumberDrivesD4500",IF(AND(OR('TS4500'!W$7="D25",'TS4500'!W$7="D55"),Table4500!$E$33&lt;=Table4500!$E$32),"NumberDrivesD4500","NumberDrives04500"))))</f>
        <v>NumberDrivesD4500</v>
      </c>
    </row>
    <row r="440" spans="2:3">
      <c r="B440" s="1318"/>
      <c r="C440" s="174" t="str">
        <f ca="1">IF(AND('TS4500'!X$6='TS4500'!$F$5,OR('TS4500'!X$7="D25",'TS4500'!X$7="D55",'TS4500'!X$7="L25",'TS4500'!X$7="L55"),Table4500!$E$33&lt;=Table4500!$E$32,'TS4500'!$G$5="HA"),"NumberDrivesSVBB4500",IF(OR('TS4500'!X$7="S25",'TS4500'!X$7="S55"),"NumberDrives04500",IF(AND(OR('TS4500'!X$7="L25",'TS4500'!X$7="L55"),Table4500!$E$33&lt;=Table4500!$E$32),"NumberDrivesD4500",IF(AND(OR('TS4500'!X$7="D25",'TS4500'!X$7="D55"),Table4500!$E$33&lt;=Table4500!$E$32),"NumberDrivesD4500","NumberDrives04500"))))</f>
        <v>NumberDrives04500</v>
      </c>
    </row>
    <row r="441" spans="2:3">
      <c r="B441" s="1318"/>
      <c r="C441" s="174" t="str">
        <f ca="1">IF(AND('TS4500'!Y$6='TS4500'!$F$5,OR('TS4500'!Y$7="D25",'TS4500'!Y$7="D55",'TS4500'!Y$7="L25",'TS4500'!Y$7="L55"),Table4500!$E$33&lt;=Table4500!$E$32,'TS4500'!$G$5="HA"),"NumberDrivesSVBB4500",IF(OR('TS4500'!Y$7="S25",'TS4500'!Y$7="S55"),"NumberDrives04500",IF(AND(OR('TS4500'!Y$7="L25",'TS4500'!Y$7="L55"),Table4500!$E$33&lt;=Table4500!$E$32),"NumberDrivesD4500",IF(AND(OR('TS4500'!Y$7="D25",'TS4500'!Y$7="D55"),Table4500!$E$33&lt;=Table4500!$E$32),"NumberDrivesD4500","NumberDrives04500"))))</f>
        <v>NumberDrivesD4500</v>
      </c>
    </row>
    <row r="442" spans="2:3">
      <c r="B442" s="1319"/>
      <c r="C442" s="175" t="str">
        <f ca="1">IF(AND('TS4500'!Z$6='TS4500'!$F$5,OR('TS4500'!Z$7="D25",'TS4500'!Z$7="D55",'TS4500'!Z$7="L25",'TS4500'!Z$7="L55"),Table4500!$E$33&lt;=Table4500!$E$32,'TS4500'!$G$5="HA"),"NumberDrivesSVBB4500",IF(OR('TS4500'!Z$7="S25",'TS4500'!Z$7="S55"),"NumberDrives04500",IF(AND(OR('TS4500'!Z$7="L25",'TS4500'!Z$7="L55"),Table4500!$E$33&lt;=Table4500!$E$32),"NumberDrivesD4500",IF(AND(OR('TS4500'!Z$7="D25",'TS4500'!Z$7="D55"),Table4500!$E$33&lt;=Table4500!$E$32),"NumberDrivesD4500","NumberDrives04500"))))</f>
        <v>NumberDrivesD4500</v>
      </c>
    </row>
    <row r="444" spans="2:3">
      <c r="B444" s="167" t="s">
        <v>430</v>
      </c>
      <c r="C444" s="236" t="s">
        <v>428</v>
      </c>
    </row>
    <row r="446" spans="2:3">
      <c r="B446" s="167" t="s">
        <v>431</v>
      </c>
      <c r="C446" s="236" t="s">
        <v>428</v>
      </c>
    </row>
    <row r="448" spans="2:3">
      <c r="B448" s="1291" t="s">
        <v>432</v>
      </c>
      <c r="C448" s="235" t="s">
        <v>428</v>
      </c>
    </row>
    <row r="449" spans="2:3">
      <c r="B449" s="1294"/>
      <c r="C449" s="236" t="s">
        <v>127</v>
      </c>
    </row>
    <row r="451" spans="2:3">
      <c r="B451" s="1291" t="s">
        <v>433</v>
      </c>
      <c r="C451" s="235" t="s">
        <v>428</v>
      </c>
    </row>
    <row r="452" spans="2:3">
      <c r="B452" s="1294"/>
      <c r="C452" s="236" t="s">
        <v>127</v>
      </c>
    </row>
    <row r="454" spans="2:3">
      <c r="B454" s="167" t="s">
        <v>434</v>
      </c>
      <c r="C454" s="236" t="s">
        <v>127</v>
      </c>
    </row>
    <row r="456" spans="2:3">
      <c r="B456" s="167" t="s">
        <v>435</v>
      </c>
      <c r="C456" s="236" t="s">
        <v>127</v>
      </c>
    </row>
    <row r="458" spans="2:3">
      <c r="B458" s="167" t="s">
        <v>436</v>
      </c>
      <c r="C458" s="236" t="s">
        <v>127</v>
      </c>
    </row>
    <row r="460" spans="2:3">
      <c r="B460" s="167" t="s">
        <v>437</v>
      </c>
      <c r="C460" s="236" t="s">
        <v>127</v>
      </c>
    </row>
    <row r="462" spans="2:3">
      <c r="B462" s="169" t="s">
        <v>438</v>
      </c>
      <c r="C462" s="236" t="s">
        <v>428</v>
      </c>
    </row>
    <row r="464" spans="2:3">
      <c r="B464" s="154" t="s">
        <v>481</v>
      </c>
      <c r="C464" s="155" t="s">
        <v>349</v>
      </c>
    </row>
    <row r="465" spans="2:3">
      <c r="B465" s="159"/>
      <c r="C465" s="160" t="s">
        <v>362</v>
      </c>
    </row>
    <row r="466" spans="2:3">
      <c r="B466" s="159"/>
      <c r="C466" s="160" t="s">
        <v>350</v>
      </c>
    </row>
    <row r="467" spans="2:3">
      <c r="B467" s="159"/>
      <c r="C467" s="160" t="s">
        <v>363</v>
      </c>
    </row>
    <row r="468" spans="2:3">
      <c r="B468" s="159"/>
      <c r="C468" s="160" t="s">
        <v>478</v>
      </c>
    </row>
    <row r="469" spans="2:3">
      <c r="B469" s="159"/>
      <c r="C469" s="160" t="s">
        <v>368</v>
      </c>
    </row>
    <row r="470" spans="2:3">
      <c r="B470" s="159"/>
      <c r="C470" s="160" t="s">
        <v>480</v>
      </c>
    </row>
    <row r="471" spans="2:3">
      <c r="B471" s="165"/>
      <c r="C471" s="166" t="s">
        <v>364</v>
      </c>
    </row>
    <row r="473" spans="2:3">
      <c r="B473" s="1291" t="s">
        <v>465</v>
      </c>
      <c r="C473" s="173">
        <f ca="1">IF(AND(OR('TS4500'!F$7="L25",'TS4500'!F$7="L55"),Table4500!$I$21&gt;1),2,1)</f>
        <v>1</v>
      </c>
    </row>
    <row r="474" spans="2:3">
      <c r="B474" s="1292"/>
      <c r="C474" s="174">
        <f ca="1">IF(AND(OR('TS4500'!J$7="L25",'TS4500'!J$7="L55"),Table4500!$I$21&gt;1),2,1)</f>
        <v>1</v>
      </c>
    </row>
    <row r="475" spans="2:3">
      <c r="B475" s="1292"/>
      <c r="C475" s="174">
        <f ca="1">IF(AND(OR('TS4500'!K$7="L25",'TS4500'!K$7="L55"),Table4500!$I$21&gt;1),2,1)</f>
        <v>1</v>
      </c>
    </row>
    <row r="476" spans="2:3">
      <c r="B476" s="1292"/>
      <c r="C476" s="174">
        <f ca="1">IF(AND(OR('TS4500'!L$7="L25",'TS4500'!L$7="L55"),Table4500!$I$21&gt;1),2,1)</f>
        <v>1</v>
      </c>
    </row>
    <row r="477" spans="2:3">
      <c r="B477" s="1292"/>
      <c r="C477" s="174">
        <f ca="1">IF(AND(OR('TS4500'!M$7="L25",'TS4500'!M$7="L55"),Table4500!$I$21&gt;1),2,1)</f>
        <v>1</v>
      </c>
    </row>
    <row r="478" spans="2:3">
      <c r="B478" s="1292"/>
      <c r="C478" s="174">
        <f ca="1">IF(AND(OR('TS4500'!N$7="L25",'TS4500'!N$7="L55"),Table4500!$I$21&gt;1),2,1)</f>
        <v>1</v>
      </c>
    </row>
    <row r="479" spans="2:3">
      <c r="B479" s="1292"/>
      <c r="C479" s="174">
        <f ca="1">IF(AND(OR('TS4500'!O$7="L25",'TS4500'!O$7="L55"),Table4500!$I$21&gt;1),2,1)</f>
        <v>1</v>
      </c>
    </row>
    <row r="480" spans="2:3">
      <c r="B480" s="1292"/>
      <c r="C480" s="174">
        <f ca="1">IF(AND(OR('TS4500'!P$7="L25",'TS4500'!P$7="L55"),Table4500!$I$21&gt;1),2,1)</f>
        <v>1</v>
      </c>
    </row>
    <row r="481" spans="2:3">
      <c r="B481" s="1292"/>
      <c r="C481" s="174">
        <f ca="1">IF(AND(OR('TS4500'!Q$7="L25",'TS4500'!Q$7="L55"),Table4500!$I$21&gt;1),2,1)</f>
        <v>1</v>
      </c>
    </row>
    <row r="482" spans="2:3">
      <c r="B482" s="1292"/>
      <c r="C482" s="174">
        <f ca="1">IF(AND(OR('TS4500'!R$7="L25",'TS4500'!R$7="L55"),Table4500!$I$21&gt;1),2,1)</f>
        <v>1</v>
      </c>
    </row>
    <row r="483" spans="2:3">
      <c r="B483" s="1292"/>
      <c r="C483" s="174">
        <f ca="1">IF(AND(OR('TS4500'!S$7="L25",'TS4500'!S$7="L55"),Table4500!$I$21&gt;1),2,1)</f>
        <v>1</v>
      </c>
    </row>
    <row r="484" spans="2:3">
      <c r="B484" s="1292"/>
      <c r="C484" s="174">
        <f ca="1">IF(AND(OR('TS4500'!T$7="L25",'TS4500'!T$7="L55"),Table4500!$I$21&gt;1),2,1)</f>
        <v>1</v>
      </c>
    </row>
    <row r="485" spans="2:3">
      <c r="B485" s="1292"/>
      <c r="C485" s="174">
        <f ca="1">IF(AND(OR('TS4500'!U$7="L25",'TS4500'!U$7="L55"),Table4500!$I$21&gt;1),2,1)</f>
        <v>1</v>
      </c>
    </row>
    <row r="486" spans="2:3">
      <c r="B486" s="1292"/>
      <c r="C486" s="174">
        <f ca="1">IF(AND(OR('TS4500'!V$7="L25",'TS4500'!V$7="L55"),Table4500!$I$21&gt;1),2,1)</f>
        <v>1</v>
      </c>
    </row>
    <row r="487" spans="2:3">
      <c r="B487" s="1292"/>
      <c r="C487" s="174">
        <f ca="1">IF(AND(OR('TS4500'!W$7="L25",'TS4500'!W$7="L55"),Table4500!$I$21&gt;1),2,1)</f>
        <v>1</v>
      </c>
    </row>
    <row r="488" spans="2:3">
      <c r="B488" s="1292"/>
      <c r="C488" s="174">
        <f ca="1">IF(AND(OR('TS4500'!X$7="L25",'TS4500'!X$7="L55"),Table4500!$I$21&gt;1),2,1)</f>
        <v>1</v>
      </c>
    </row>
    <row r="489" spans="2:3">
      <c r="B489" s="1292"/>
      <c r="C489" s="174">
        <f ca="1">IF(AND(OR('TS4500'!Y$7="L25",'TS4500'!Y$7="L55"),Table4500!$I$21&gt;1),2,1)</f>
        <v>1</v>
      </c>
    </row>
    <row r="490" spans="2:3">
      <c r="B490" s="1294"/>
      <c r="C490" s="175">
        <f ca="1">IF(AND(OR('TS4500'!Z$7="L25",'TS4500'!Z$7="L55"),Table4500!$I$21&gt;1),2,1)</f>
        <v>1</v>
      </c>
    </row>
    <row r="492" spans="2:3">
      <c r="B492" s="1291" t="s">
        <v>466</v>
      </c>
      <c r="C492" s="173">
        <f ca="1">IF(AND(OR('TS4500'!F$7="D25",'TS4500'!F$7="D55"),Table4500!$I$19&gt;Table4500!$D$20),2,1)</f>
        <v>1</v>
      </c>
    </row>
    <row r="493" spans="2:3">
      <c r="B493" s="1292"/>
      <c r="C493" s="174">
        <f ca="1">IF(AND(OR('TS4500'!J$7="D25",'TS4500'!J$7="D55"),Table4500!$I$19&gt;Table4500!$D$20),2,1)</f>
        <v>1</v>
      </c>
    </row>
    <row r="494" spans="2:3">
      <c r="B494" s="1292"/>
      <c r="C494" s="174">
        <f ca="1">IF(AND(OR('TS4500'!K$7="D25",'TS4500'!K$7="D55"),Table4500!$I$19&gt;Table4500!$D$20),2,1)</f>
        <v>1</v>
      </c>
    </row>
    <row r="495" spans="2:3">
      <c r="B495" s="1292"/>
      <c r="C495" s="174">
        <f ca="1">IF(AND(OR('TS4500'!L$7="D25",'TS4500'!L$7="D55"),Table4500!$I$19&gt;Table4500!$D$20),2,1)</f>
        <v>1</v>
      </c>
    </row>
    <row r="496" spans="2:3">
      <c r="B496" s="1292"/>
      <c r="C496" s="174">
        <f ca="1">IF(AND(OR('TS4500'!M$7="D25",'TS4500'!M$7="D55"),Table4500!$I$19&gt;Table4500!$D$20),2,1)</f>
        <v>1</v>
      </c>
    </row>
    <row r="497" spans="2:3">
      <c r="B497" s="1292"/>
      <c r="C497" s="174">
        <f ca="1">IF(AND(OR('TS4500'!N$7="D25",'TS4500'!N$7="D55"),Table4500!$I$19&gt;Table4500!$D$20),2,1)</f>
        <v>1</v>
      </c>
    </row>
    <row r="498" spans="2:3">
      <c r="B498" s="1292"/>
      <c r="C498" s="174">
        <f ca="1">IF(AND(OR('TS4500'!O$7="D25",'TS4500'!O$7="D55"),Table4500!$I$19&gt;Table4500!$D$20),2,1)</f>
        <v>1</v>
      </c>
    </row>
    <row r="499" spans="2:3">
      <c r="B499" s="1292"/>
      <c r="C499" s="174">
        <f ca="1">IF(AND(OR('TS4500'!P$7="D25",'TS4500'!P$7="D55"),Table4500!$I$19&gt;Table4500!$D$20),2,1)</f>
        <v>1</v>
      </c>
    </row>
    <row r="500" spans="2:3">
      <c r="B500" s="1292"/>
      <c r="C500" s="174">
        <f ca="1">IF(AND(OR('TS4500'!Q$7="D25",'TS4500'!Q$7="D55"),Table4500!$I$19&gt;Table4500!$D$20),2,1)</f>
        <v>1</v>
      </c>
    </row>
    <row r="501" spans="2:3">
      <c r="B501" s="1292"/>
      <c r="C501" s="174">
        <f ca="1">IF(AND(OR('TS4500'!R$7="D25",'TS4500'!R$7="D55"),Table4500!$I$19&gt;Table4500!$D$20),2,1)</f>
        <v>1</v>
      </c>
    </row>
    <row r="502" spans="2:3">
      <c r="B502" s="1292"/>
      <c r="C502" s="174">
        <f ca="1">IF(AND(OR('TS4500'!S$7="D25",'TS4500'!S$7="D55"),Table4500!$I$19&gt;Table4500!$D$20),2,1)</f>
        <v>1</v>
      </c>
    </row>
    <row r="503" spans="2:3">
      <c r="B503" s="1292"/>
      <c r="C503" s="174">
        <f ca="1">IF(AND(OR('TS4500'!T$7="D25",'TS4500'!T$7="D55"),Table4500!$I$19&gt;Table4500!$D$20),2,1)</f>
        <v>1</v>
      </c>
    </row>
    <row r="504" spans="2:3">
      <c r="B504" s="1292"/>
      <c r="C504" s="174">
        <f ca="1">IF(AND(OR('TS4500'!U$7="D25",'TS4500'!U$7="D55"),Table4500!$I$19&gt;Table4500!$D$20),2,1)</f>
        <v>1</v>
      </c>
    </row>
    <row r="505" spans="2:3">
      <c r="B505" s="1292"/>
      <c r="C505" s="174">
        <f ca="1">IF(AND(OR('TS4500'!V$7="D25",'TS4500'!V$7="D55"),Table4500!$I$19&gt;Table4500!$D$20),2,1)</f>
        <v>1</v>
      </c>
    </row>
    <row r="506" spans="2:3">
      <c r="B506" s="1292"/>
      <c r="C506" s="174">
        <f ca="1">IF(AND(OR('TS4500'!W$7="D25",'TS4500'!W$7="D55"),Table4500!$I$19&gt;Table4500!$D$20),2,1)</f>
        <v>1</v>
      </c>
    </row>
    <row r="507" spans="2:3">
      <c r="B507" s="1292"/>
      <c r="C507" s="174">
        <f ca="1">IF(AND(OR('TS4500'!X$7="D25",'TS4500'!X$7="D55"),Table4500!$I$19&gt;Table4500!$D$20),2,1)</f>
        <v>1</v>
      </c>
    </row>
    <row r="508" spans="2:3">
      <c r="B508" s="1292"/>
      <c r="C508" s="174">
        <f ca="1">IF(AND(OR('TS4500'!Y$7="D25",'TS4500'!Y$7="D55"),Table4500!$I$19&gt;Table4500!$D$20),2,1)</f>
        <v>1</v>
      </c>
    </row>
    <row r="509" spans="2:3">
      <c r="B509" s="1294"/>
      <c r="C509" s="175">
        <f ca="1">IF(AND(OR('TS4500'!Z$7="D25",'TS4500'!Z$7="D55"),Table4500!$I$19&gt;Table4500!$D$20),2,1)</f>
        <v>1</v>
      </c>
    </row>
    <row r="511" spans="2:3">
      <c r="B511" s="1387" t="s">
        <v>482</v>
      </c>
      <c r="C511" s="155" t="s">
        <v>345</v>
      </c>
    </row>
    <row r="512" spans="2:3">
      <c r="B512" s="1388"/>
      <c r="C512" s="160" t="s">
        <v>346</v>
      </c>
    </row>
    <row r="513" spans="2:3">
      <c r="B513" s="1388"/>
      <c r="C513" s="160" t="s">
        <v>362</v>
      </c>
    </row>
    <row r="514" spans="2:3">
      <c r="B514" s="1388"/>
      <c r="C514" s="160" t="s">
        <v>363</v>
      </c>
    </row>
    <row r="515" spans="2:3">
      <c r="B515" s="1388"/>
      <c r="C515" s="160" t="s">
        <v>368</v>
      </c>
    </row>
    <row r="516" spans="2:3">
      <c r="B516" s="1389"/>
      <c r="C516" s="166" t="s">
        <v>364</v>
      </c>
    </row>
    <row r="518" spans="2:3">
      <c r="B518" s="1291" t="s">
        <v>467</v>
      </c>
      <c r="C518" s="173">
        <f ca="1">IF(AND('TS4500'!$F$6&lt;='TS4500'!$F$5,Table4500!$I$21=0),0,1)</f>
        <v>1</v>
      </c>
    </row>
    <row r="519" spans="2:3">
      <c r="B519" s="1292"/>
      <c r="C519" s="174">
        <f ca="1">IF(AND('TS4500'!$J$6&lt;='TS4500'!$F$5,Table4500!$I$21=0),0,1)</f>
        <v>1</v>
      </c>
    </row>
    <row r="520" spans="2:3">
      <c r="B520" s="1292"/>
      <c r="C520" s="174">
        <f ca="1">IF(AND('TS4500'!$K$6&lt;='TS4500'!$F$5,Table4500!$I$21=0),0,1)</f>
        <v>1</v>
      </c>
    </row>
    <row r="521" spans="2:3">
      <c r="B521" s="1292"/>
      <c r="C521" s="174">
        <f ca="1">IF(AND('TS4500'!$L$6&lt;='TS4500'!$F$5,Table4500!$I$21=0),0,1)</f>
        <v>1</v>
      </c>
    </row>
    <row r="522" spans="2:3">
      <c r="B522" s="1292"/>
      <c r="C522" s="174">
        <f ca="1">IF(AND('TS4500'!$M$6&lt;='TS4500'!$F$5,Table4500!$I$21=0),0,1)</f>
        <v>1</v>
      </c>
    </row>
    <row r="523" spans="2:3">
      <c r="B523" s="1292"/>
      <c r="C523" s="174">
        <f ca="1">IF(AND('TS4500'!$N$6&lt;='TS4500'!$F$5,Table4500!$I$21=0),0,1)</f>
        <v>1</v>
      </c>
    </row>
    <row r="524" spans="2:3">
      <c r="B524" s="1292"/>
      <c r="C524" s="174">
        <f ca="1">IF(AND('TS4500'!$O$6&lt;='TS4500'!$F$5,Table4500!$I$21=0),0,1)</f>
        <v>1</v>
      </c>
    </row>
    <row r="525" spans="2:3">
      <c r="B525" s="1292"/>
      <c r="C525" s="174">
        <f ca="1">IF(AND('TS4500'!$P$6&lt;='TS4500'!$F$5,Table4500!$I$21=0),0,1)</f>
        <v>1</v>
      </c>
    </row>
    <row r="526" spans="2:3">
      <c r="B526" s="1292"/>
      <c r="C526" s="174">
        <f ca="1">IF(AND('TS4500'!$Q$6&lt;='TS4500'!$F$5,Table4500!$I$21=0),0,1)</f>
        <v>1</v>
      </c>
    </row>
    <row r="527" spans="2:3">
      <c r="B527" s="1292"/>
      <c r="C527" s="174">
        <f ca="1">IF(AND('TS4500'!$R$6&lt;='TS4500'!$F$5,Table4500!$I$21=0),0,1)</f>
        <v>1</v>
      </c>
    </row>
    <row r="528" spans="2:3">
      <c r="B528" s="1292"/>
      <c r="C528" s="174">
        <f ca="1">IF(AND('TS4500'!$S$6&lt;='TS4500'!$F$5,Table4500!$I$21=0),0,1)</f>
        <v>1</v>
      </c>
    </row>
    <row r="529" spans="2:3">
      <c r="B529" s="1292"/>
      <c r="C529" s="174">
        <f ca="1">IF(AND('TS4500'!$T$6&lt;='TS4500'!$F$5,Table4500!$I$21=0),0,1)</f>
        <v>1</v>
      </c>
    </row>
    <row r="530" spans="2:3">
      <c r="B530" s="1292"/>
      <c r="C530" s="174">
        <f ca="1">IF(AND('TS4500'!$U$6&lt;='TS4500'!$F$5,Table4500!$I$21=0),0,1)</f>
        <v>1</v>
      </c>
    </row>
    <row r="531" spans="2:3">
      <c r="B531" s="1292"/>
      <c r="C531" s="174">
        <f ca="1">IF(AND('TS4500'!$V$6&lt;='TS4500'!$F$5,Table4500!$I$21=0),0,1)</f>
        <v>1</v>
      </c>
    </row>
    <row r="532" spans="2:3">
      <c r="B532" s="1292"/>
      <c r="C532" s="174">
        <f ca="1">IF(AND('TS4500'!$W$6&lt;='TS4500'!$F$5,Table4500!$I$21=0),0,1)</f>
        <v>1</v>
      </c>
    </row>
    <row r="533" spans="2:3">
      <c r="B533" s="1292"/>
      <c r="C533" s="174">
        <f ca="1">IF(AND('TS4500'!$X$6&lt;='TS4500'!$F$5,Table4500!$I$21=0),0,1)</f>
        <v>1</v>
      </c>
    </row>
    <row r="534" spans="2:3">
      <c r="B534" s="1292"/>
      <c r="C534" s="174">
        <f ca="1">IF(AND('TS4500'!$Y$6&lt;='TS4500'!$F$5,Table4500!$I$21=0),0,1)</f>
        <v>1</v>
      </c>
    </row>
    <row r="535" spans="2:3">
      <c r="B535" s="1294"/>
      <c r="C535" s="175">
        <f ca="1">IF(AND('TS4500'!$Z$6&lt;='TS4500'!$F$5,Table4500!$I$21=0),0,1)</f>
        <v>1</v>
      </c>
    </row>
    <row r="537" spans="2:3">
      <c r="B537" s="1291" t="s">
        <v>472</v>
      </c>
      <c r="C537" s="173">
        <f ca="1">IF(AND('TS4500'!$F$6&lt;='TS4500'!$F$5,Table4500!$E$33=0,OR('TS4500'!F$7="L25",'TS4500'!F$7="L55",'TS4500'!F$7="D25",'TS4500'!F$7="D55")),0,1)</f>
        <v>1</v>
      </c>
    </row>
    <row r="538" spans="2:3">
      <c r="B538" s="1292"/>
      <c r="C538" s="174">
        <f ca="1">IF(AND('TS4500'!$J$6&lt;='TS4500'!$F$5,Table4500!$E$33=0,OR('TS4500'!J$7="L25",'TS4500'!J$7="L55",'TS4500'!J$7="D25",'TS4500'!J$7="D55")),0,1)</f>
        <v>1</v>
      </c>
    </row>
    <row r="539" spans="2:3">
      <c r="B539" s="1292"/>
      <c r="C539" s="174">
        <f ca="1">IF(AND('TS4500'!$K$6&lt;='TS4500'!$F$5,Table4500!$E$33=0,OR('TS4500'!K$7="L25",'TS4500'!K$7="L55",'TS4500'!K$7="D25",'TS4500'!K$7="D55")),0,1)</f>
        <v>1</v>
      </c>
    </row>
    <row r="540" spans="2:3">
      <c r="B540" s="1292"/>
      <c r="C540" s="174">
        <f ca="1">IF(AND('TS4500'!$L$6&lt;='TS4500'!$F$5,Table4500!$E$33=0,OR('TS4500'!L$7="L25",'TS4500'!L$7="L55",'TS4500'!L$7="D25",'TS4500'!L$7="D55")),0,1)</f>
        <v>1</v>
      </c>
    </row>
    <row r="541" spans="2:3">
      <c r="B541" s="1292"/>
      <c r="C541" s="174">
        <f ca="1">IF(AND('TS4500'!$M$6&lt;='TS4500'!$F$5,Table4500!$E$33=0,OR('TS4500'!M$7="L25",'TS4500'!M$7="L55",'TS4500'!M$7="D25",'TS4500'!M$7="D55")),0,1)</f>
        <v>1</v>
      </c>
    </row>
    <row r="542" spans="2:3">
      <c r="B542" s="1292"/>
      <c r="C542" s="174">
        <f ca="1">IF(AND('TS4500'!$N$6&lt;='TS4500'!$F$5,Table4500!$E$33=0,OR('TS4500'!N$7="L25",'TS4500'!N$7="L55",'TS4500'!N$7="D25",'TS4500'!N$7="D55")),0,1)</f>
        <v>1</v>
      </c>
    </row>
    <row r="543" spans="2:3">
      <c r="B543" s="1292"/>
      <c r="C543" s="174">
        <f ca="1">IF(AND('TS4500'!$O$6&lt;='TS4500'!$F$5,Table4500!$E$33=0,OR('TS4500'!O$7="L25",'TS4500'!O$7="L55",'TS4500'!O$7="D25",'TS4500'!O$7="D55")),0,1)</f>
        <v>1</v>
      </c>
    </row>
    <row r="544" spans="2:3">
      <c r="B544" s="1292"/>
      <c r="C544" s="174">
        <f ca="1">IF(AND('TS4500'!$P$6&lt;='TS4500'!$F$5,Table4500!$E$33=0,OR('TS4500'!P$7="L25",'TS4500'!P$7="L55",'TS4500'!P$7="D25",'TS4500'!P$7="D55")),0,1)</f>
        <v>1</v>
      </c>
    </row>
    <row r="545" spans="2:3">
      <c r="B545" s="1292"/>
      <c r="C545" s="174">
        <f ca="1">IF(AND('TS4500'!$Q$6&lt;='TS4500'!$F$5,Table4500!$E$33=0,OR('TS4500'!Q$7="L25",'TS4500'!Q$7="L55",'TS4500'!Q$7="D25",'TS4500'!Q$7="D55")),0,1)</f>
        <v>1</v>
      </c>
    </row>
    <row r="546" spans="2:3">
      <c r="B546" s="1292"/>
      <c r="C546" s="174">
        <f ca="1">IF(AND('TS4500'!$R$6&lt;='TS4500'!$F$5,Table4500!$E$33=0,OR('TS4500'!R$7="L25",'TS4500'!R$7="L55",'TS4500'!R$7="D25",'TS4500'!R$7="D55")),0,1)</f>
        <v>1</v>
      </c>
    </row>
    <row r="547" spans="2:3">
      <c r="B547" s="1292"/>
      <c r="C547" s="174">
        <f ca="1">IF(AND('TS4500'!$S$6&lt;='TS4500'!$F$5,Table4500!$E$33=0,OR('TS4500'!S$7="L25",'TS4500'!S$7="L55",'TS4500'!S$7="D25",'TS4500'!S$7="D55")),0,1)</f>
        <v>1</v>
      </c>
    </row>
    <row r="548" spans="2:3">
      <c r="B548" s="1292"/>
      <c r="C548" s="174">
        <f ca="1">IF(AND('TS4500'!$T$6&lt;='TS4500'!$F$5,Table4500!$E$33=0,OR('TS4500'!T$7="L25",'TS4500'!T$7="L55",'TS4500'!T$7="D25",'TS4500'!T$7="D55")),0,1)</f>
        <v>1</v>
      </c>
    </row>
    <row r="549" spans="2:3">
      <c r="B549" s="1292"/>
      <c r="C549" s="174">
        <f ca="1">IF(AND('TS4500'!$U$6&lt;='TS4500'!$F$5,Table4500!$E$33=0,OR('TS4500'!U$7="L25",'TS4500'!U$7="L55",'TS4500'!U$7="D25",'TS4500'!U$7="D55")),0,1)</f>
        <v>1</v>
      </c>
    </row>
    <row r="550" spans="2:3">
      <c r="B550" s="1292"/>
      <c r="C550" s="174">
        <f ca="1">IF(AND('TS4500'!$V$6&lt;='TS4500'!$F$5,Table4500!$E$33=0,OR('TS4500'!V$7="L25",'TS4500'!V$7="L55",'TS4500'!V$7="D25",'TS4500'!V$7="D55")),0,1)</f>
        <v>1</v>
      </c>
    </row>
    <row r="551" spans="2:3">
      <c r="B551" s="1292"/>
      <c r="C551" s="174">
        <f ca="1">IF(AND('TS4500'!$W$6&lt;='TS4500'!$F$5,Table4500!$E$33=0,OR('TS4500'!W$7="L25",'TS4500'!W$7="L55",'TS4500'!W$7="D25",'TS4500'!W$7="D55")),0,1)</f>
        <v>1</v>
      </c>
    </row>
    <row r="552" spans="2:3">
      <c r="B552" s="1292"/>
      <c r="C552" s="174">
        <f ca="1">IF(AND('TS4500'!$X$6&lt;='TS4500'!$F$5,Table4500!$E$33=0,OR('TS4500'!X$7="L25",'TS4500'!X$7="L55",'TS4500'!X$7="D25",'TS4500'!X$7="D55")),0,1)</f>
        <v>1</v>
      </c>
    </row>
    <row r="553" spans="2:3">
      <c r="B553" s="1292"/>
      <c r="C553" s="174">
        <f ca="1">IF(AND('TS4500'!$Y$6&lt;='TS4500'!$F$5,Table4500!$E$33=0,OR('TS4500'!Y$7="L25",'TS4500'!Y$7="L55",'TS4500'!Y$7="D25",'TS4500'!Y$7="D55")),0,1)</f>
        <v>1</v>
      </c>
    </row>
    <row r="554" spans="2:3">
      <c r="B554" s="1294"/>
      <c r="C554" s="175">
        <f ca="1">IF(AND('TS4500'!$Z$6&lt;='TS4500'!$F$5,Table4500!$E$33=0,OR('TS4500'!Z$7="L25",'TS4500'!Z$7="L55",'TS4500'!Z$7="D25",'TS4500'!Z$7="D55")),0,1)</f>
        <v>1</v>
      </c>
    </row>
    <row r="556" spans="2:3">
      <c r="B556" s="1379" t="s">
        <v>485</v>
      </c>
      <c r="C556" s="176" t="s">
        <v>487</v>
      </c>
    </row>
    <row r="557" spans="2:3">
      <c r="B557" s="1381"/>
      <c r="C557" s="176" t="str">
        <f>IF('TS4500'!F5&gt;=2, "HA", "no HA")</f>
        <v>HA</v>
      </c>
    </row>
    <row r="559" spans="2:3">
      <c r="B559" s="156" t="s">
        <v>486</v>
      </c>
      <c r="C559" s="176">
        <f>IF(AND('TS4500'!G5="HA",OR('TS4500'!F7="L25",'TS4500'!F7="L55",'TS4500'!F7="S54",'TS4500'!F7="S24")),1,0)</f>
        <v>0</v>
      </c>
    </row>
    <row r="561" spans="2:10">
      <c r="B561" s="156" t="s">
        <v>489</v>
      </c>
      <c r="C561" s="176">
        <f>IF(OR(INDEX(TS4500FrameTypeAtPosition,'TS4500'!F5)="S54",INDEX(TS4500FrameTypeAtPosition,'TS4500'!F5)="S24"),1,0)</f>
        <v>0</v>
      </c>
    </row>
    <row r="563" spans="2:10">
      <c r="B563" s="318"/>
      <c r="C563" s="176" t="str">
        <f>'TS4500'!F7</f>
        <v>D25</v>
      </c>
    </row>
    <row r="564" spans="2:10">
      <c r="B564" s="322"/>
      <c r="C564" s="176" t="str">
        <f>'TS4500'!J7</f>
        <v>L25</v>
      </c>
    </row>
    <row r="565" spans="2:10">
      <c r="B565" s="322"/>
      <c r="C565" s="176" t="str">
        <f>'TS4500'!K7</f>
        <v>D25</v>
      </c>
    </row>
    <row r="566" spans="2:10">
      <c r="B566" s="322"/>
      <c r="C566" s="176" t="str">
        <f>'TS4500'!L7</f>
        <v>D25</v>
      </c>
    </row>
    <row r="567" spans="2:10">
      <c r="B567" s="322"/>
      <c r="C567" s="176" t="str">
        <f>'TS4500'!M7</f>
        <v>S25</v>
      </c>
    </row>
    <row r="568" spans="2:10">
      <c r="B568" s="322"/>
      <c r="C568" s="176" t="str">
        <f>'TS4500'!N7</f>
        <v>S25</v>
      </c>
    </row>
    <row r="569" spans="2:10">
      <c r="B569" s="322"/>
      <c r="C569" s="176" t="str">
        <f>'TS4500'!O7</f>
        <v>S25</v>
      </c>
    </row>
    <row r="570" spans="2:10">
      <c r="B570" s="322"/>
      <c r="C570" s="176" t="str">
        <f>'TS4500'!P7</f>
        <v>S25</v>
      </c>
    </row>
    <row r="571" spans="2:10">
      <c r="B571" s="322" t="s">
        <v>488</v>
      </c>
      <c r="C571" s="176" t="str">
        <f>'TS4500'!Q7</f>
        <v>S25</v>
      </c>
      <c r="I571" s="10"/>
      <c r="J571" s="153"/>
    </row>
    <row r="572" spans="2:10">
      <c r="B572" s="322"/>
      <c r="C572" s="176" t="str">
        <f>'TS4500'!R7</f>
        <v>S25</v>
      </c>
      <c r="I572" s="10"/>
      <c r="J572" s="153"/>
    </row>
    <row r="573" spans="2:10">
      <c r="B573" s="322"/>
      <c r="C573" s="176" t="str">
        <f>'TS4500'!S7</f>
        <v>S25</v>
      </c>
    </row>
    <row r="574" spans="2:10">
      <c r="B574" s="322"/>
      <c r="C574" s="176" t="str">
        <f>'TS4500'!T7</f>
        <v>S25</v>
      </c>
    </row>
    <row r="575" spans="2:10">
      <c r="B575" s="322"/>
      <c r="C575" s="176" t="str">
        <f>'TS4500'!U7</f>
        <v>S55</v>
      </c>
    </row>
    <row r="576" spans="2:10">
      <c r="B576" s="322"/>
      <c r="C576" s="176" t="str">
        <f>'TS4500'!V7</f>
        <v>D55</v>
      </c>
    </row>
    <row r="577" spans="2:6">
      <c r="B577" s="322"/>
      <c r="C577" s="176" t="str">
        <f>'TS4500'!W7</f>
        <v>D55</v>
      </c>
    </row>
    <row r="578" spans="2:6">
      <c r="B578" s="322"/>
      <c r="C578" s="176" t="str">
        <f>'TS4500'!X7</f>
        <v>S55</v>
      </c>
    </row>
    <row r="579" spans="2:6">
      <c r="B579" s="322"/>
      <c r="C579" s="176" t="str">
        <f>'TS4500'!Y7</f>
        <v>D55</v>
      </c>
    </row>
    <row r="580" spans="2:6">
      <c r="B580" s="319"/>
      <c r="C580" s="176" t="str">
        <f>'TS4500'!Z7</f>
        <v>D55</v>
      </c>
    </row>
    <row r="582" spans="2:6">
      <c r="B582" s="156" t="s">
        <v>490</v>
      </c>
      <c r="C582" s="176">
        <f>IF(AND('TS4500'!G5="HA",'TS4500'!F11="2x I/O"),1,0)</f>
        <v>0</v>
      </c>
    </row>
    <row r="584" spans="2:6" ht="12.9">
      <c r="B584" s="1291" t="s">
        <v>491</v>
      </c>
      <c r="C584" s="155">
        <v>0</v>
      </c>
      <c r="D584" s="324" t="s">
        <v>550</v>
      </c>
    </row>
    <row r="585" spans="2:6">
      <c r="B585" s="1292"/>
      <c r="C585" s="160">
        <v>1</v>
      </c>
    </row>
    <row r="586" spans="2:6">
      <c r="B586" s="1292"/>
      <c r="C586" s="160">
        <v>2</v>
      </c>
      <c r="F586" s="153" t="s">
        <v>626</v>
      </c>
    </row>
    <row r="587" spans="2:6">
      <c r="B587" s="1292"/>
      <c r="C587" s="160">
        <v>3</v>
      </c>
    </row>
    <row r="588" spans="2:6">
      <c r="B588" s="1294"/>
      <c r="C588" s="166">
        <v>4</v>
      </c>
    </row>
    <row r="590" spans="2:6" ht="12.9">
      <c r="B590" s="1291" t="s">
        <v>492</v>
      </c>
      <c r="C590" s="155">
        <v>0</v>
      </c>
      <c r="D590" s="324" t="s">
        <v>549</v>
      </c>
    </row>
    <row r="591" spans="2:6">
      <c r="B591" s="1292"/>
      <c r="C591" s="160">
        <v>1</v>
      </c>
    </row>
    <row r="592" spans="2:6">
      <c r="B592" s="1292"/>
      <c r="C592" s="160">
        <v>2</v>
      </c>
    </row>
    <row r="593" spans="2:4">
      <c r="B593" s="1292"/>
      <c r="C593" s="160">
        <v>3</v>
      </c>
    </row>
    <row r="594" spans="2:4">
      <c r="B594" s="1292"/>
      <c r="C594" s="160">
        <v>4</v>
      </c>
    </row>
    <row r="595" spans="2:4">
      <c r="B595" s="1292"/>
      <c r="C595" s="160">
        <v>5</v>
      </c>
    </row>
    <row r="596" spans="2:4">
      <c r="B596" s="1292"/>
      <c r="C596" s="160">
        <v>6</v>
      </c>
    </row>
    <row r="597" spans="2:4">
      <c r="B597" s="1292"/>
      <c r="C597" s="160">
        <v>7</v>
      </c>
    </row>
    <row r="598" spans="2:4">
      <c r="B598" s="1294"/>
      <c r="C598" s="166">
        <v>8</v>
      </c>
    </row>
    <row r="600" spans="2:4">
      <c r="B600" s="1379" t="s">
        <v>518</v>
      </c>
      <c r="C600" s="176" t="s">
        <v>515</v>
      </c>
    </row>
    <row r="601" spans="2:4">
      <c r="B601" s="1380"/>
      <c r="C601" s="176" t="s">
        <v>516</v>
      </c>
    </row>
    <row r="602" spans="2:4">
      <c r="B602" s="1381"/>
      <c r="C602" s="176" t="s">
        <v>517</v>
      </c>
    </row>
    <row r="604" spans="2:4" ht="12.9">
      <c r="D604" s="324"/>
    </row>
    <row r="605" spans="2:4">
      <c r="B605" s="168"/>
    </row>
    <row r="606" spans="2:4">
      <c r="B606" s="168"/>
    </row>
    <row r="607" spans="2:4">
      <c r="B607" s="168"/>
    </row>
    <row r="608" spans="2:4">
      <c r="B608" s="168"/>
    </row>
    <row r="609" spans="2:2">
      <c r="B609" s="168"/>
    </row>
  </sheetData>
  <mergeCells count="41">
    <mergeCell ref="B537:B554"/>
    <mergeCell ref="B511:B516"/>
    <mergeCell ref="B518:B535"/>
    <mergeCell ref="B274:B275"/>
    <mergeCell ref="B282:B298"/>
    <mergeCell ref="B448:B449"/>
    <mergeCell ref="B451:B452"/>
    <mergeCell ref="B339:B356"/>
    <mergeCell ref="B367:B384"/>
    <mergeCell ref="B398:B415"/>
    <mergeCell ref="B425:B442"/>
    <mergeCell ref="B473:B490"/>
    <mergeCell ref="B492:B509"/>
    <mergeCell ref="B313:B330"/>
    <mergeCell ref="B332:B335"/>
    <mergeCell ref="B358:B359"/>
    <mergeCell ref="B150:B166"/>
    <mergeCell ref="B169:B181"/>
    <mergeCell ref="B202:B219"/>
    <mergeCell ref="B300:B311"/>
    <mergeCell ref="B221:B225"/>
    <mergeCell ref="B184:B200"/>
    <mergeCell ref="B227:B244"/>
    <mergeCell ref="B250:B253"/>
    <mergeCell ref="B255:B272"/>
    <mergeCell ref="B600:B602"/>
    <mergeCell ref="B584:B588"/>
    <mergeCell ref="B590:B598"/>
    <mergeCell ref="B556:B557"/>
    <mergeCell ref="B7:B23"/>
    <mergeCell ref="B98:B99"/>
    <mergeCell ref="B113:B114"/>
    <mergeCell ref="B118:B119"/>
    <mergeCell ref="B122:B123"/>
    <mergeCell ref="B54:B57"/>
    <mergeCell ref="B61:B63"/>
    <mergeCell ref="B67:B70"/>
    <mergeCell ref="B74:B76"/>
    <mergeCell ref="B80:B81"/>
    <mergeCell ref="B126:B142"/>
    <mergeCell ref="B147:B148"/>
  </mergeCells>
  <pageMargins left="0.7" right="0.7" top="0.75" bottom="0.75" header="0.3" footer="0.3"/>
  <pageSetup paperSize="9" orientation="portrait" r:id="rId1"/>
  <ignoredErrors>
    <ignoredError sqref="C227 C228:C244"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Arbeitsblätter</vt:lpstr>
      </vt:variant>
      <vt:variant>
        <vt:i4>9</vt:i4>
      </vt:variant>
      <vt:variant>
        <vt:lpstr>Benannte Bereiche</vt:lpstr>
      </vt:variant>
      <vt:variant>
        <vt:i4>221</vt:i4>
      </vt:variant>
    </vt:vector>
  </HeadingPairs>
  <TitlesOfParts>
    <vt:vector size="230" baseType="lpstr">
      <vt:lpstr>Usage</vt:lpstr>
      <vt:lpstr>TS4500</vt:lpstr>
      <vt:lpstr>TS3500</vt:lpstr>
      <vt:lpstr>TS3100 3200 3310 3400 4300</vt:lpstr>
      <vt:lpstr>Cartridges</vt:lpstr>
      <vt:lpstr>Table</vt:lpstr>
      <vt:lpstr>Names</vt:lpstr>
      <vt:lpstr>Table4500</vt:lpstr>
      <vt:lpstr>Names4500</vt:lpstr>
      <vt:lpstr>_01</vt:lpstr>
      <vt:lpstr>_NUM1</vt:lpstr>
      <vt:lpstr>_NUM2</vt:lpstr>
      <vt:lpstr>_NUM3</vt:lpstr>
      <vt:lpstr>_NUM4</vt:lpstr>
      <vt:lpstr>DandAllHDframes</vt:lpstr>
      <vt:lpstr>DandAllHDframes4500</vt:lpstr>
      <vt:lpstr>DandAllSframes4500</vt:lpstr>
      <vt:lpstr>DandS24frames</vt:lpstr>
      <vt:lpstr>DandS25frames</vt:lpstr>
      <vt:lpstr>DandS25frames4500</vt:lpstr>
      <vt:lpstr>DandS54frames</vt:lpstr>
      <vt:lpstr>DandS55frames</vt:lpstr>
      <vt:lpstr>DandS55frames4500</vt:lpstr>
      <vt:lpstr>Dr4500Num02to</vt:lpstr>
      <vt:lpstr>Dr4500Num02to01</vt:lpstr>
      <vt:lpstr>Dr4500Num02to02</vt:lpstr>
      <vt:lpstr>Dr4500Num02to03</vt:lpstr>
      <vt:lpstr>Dr4500Num02to04</vt:lpstr>
      <vt:lpstr>Dr4500Num02to05</vt:lpstr>
      <vt:lpstr>Dr4500Num02to06</vt:lpstr>
      <vt:lpstr>Dr4500Num02to07</vt:lpstr>
      <vt:lpstr>Dr4500Num02to08</vt:lpstr>
      <vt:lpstr>Dr4500Num02to09</vt:lpstr>
      <vt:lpstr>Dr4500Num02to10</vt:lpstr>
      <vt:lpstr>Dr4500Num02to11</vt:lpstr>
      <vt:lpstr>Dr4500Num02to12</vt:lpstr>
      <vt:lpstr>Dr4500Num02to13</vt:lpstr>
      <vt:lpstr>Dr4500Num02to14</vt:lpstr>
      <vt:lpstr>Dr4500Num02to15</vt:lpstr>
      <vt:lpstr>Dr4500Num02to16</vt:lpstr>
      <vt:lpstr>Dr4500Num02to17</vt:lpstr>
      <vt:lpstr>Dr4500Num02to18</vt:lpstr>
      <vt:lpstr>DrNum02to</vt:lpstr>
      <vt:lpstr>DrNum02to01</vt:lpstr>
      <vt:lpstr>DrNum02to02</vt:lpstr>
      <vt:lpstr>DrNum02to03</vt:lpstr>
      <vt:lpstr>DrNum02to04</vt:lpstr>
      <vt:lpstr>DrNum02to05</vt:lpstr>
      <vt:lpstr>DrNum02to06</vt:lpstr>
      <vt:lpstr>DrNum02to07</vt:lpstr>
      <vt:lpstr>DrNum02to08</vt:lpstr>
      <vt:lpstr>DrNum02to09</vt:lpstr>
      <vt:lpstr>DrNum02to10</vt:lpstr>
      <vt:lpstr>DrNum02to11</vt:lpstr>
      <vt:lpstr>DrNum02to12</vt:lpstr>
      <vt:lpstr>DrNum02to13</vt:lpstr>
      <vt:lpstr>DrNum02to14</vt:lpstr>
      <vt:lpstr>DrNum02to15</vt:lpstr>
      <vt:lpstr>DrNum02to16</vt:lpstr>
      <vt:lpstr>F4500Type02to</vt:lpstr>
      <vt:lpstr>F4500Type02to01</vt:lpstr>
      <vt:lpstr>F4500Type02to02</vt:lpstr>
      <vt:lpstr>F4500Type02to03</vt:lpstr>
      <vt:lpstr>F4500Type02to04</vt:lpstr>
      <vt:lpstr>F4500Type02to05</vt:lpstr>
      <vt:lpstr>F4500Type02to06</vt:lpstr>
      <vt:lpstr>F4500Type02to07</vt:lpstr>
      <vt:lpstr>F4500Type02to08</vt:lpstr>
      <vt:lpstr>F4500Type02to09</vt:lpstr>
      <vt:lpstr>F4500Type02to10</vt:lpstr>
      <vt:lpstr>F4500Type02to11</vt:lpstr>
      <vt:lpstr>F4500Type02to12</vt:lpstr>
      <vt:lpstr>F4500Type02to13</vt:lpstr>
      <vt:lpstr>F4500Type02to14</vt:lpstr>
      <vt:lpstr>F4500Type02to15</vt:lpstr>
      <vt:lpstr>F4500Type02to16</vt:lpstr>
      <vt:lpstr>F4500Type02to17</vt:lpstr>
      <vt:lpstr>F4500Type02to18</vt:lpstr>
      <vt:lpstr>FirstFrameHAhasIO</vt:lpstr>
      <vt:lpstr>FirstFrameLandHA</vt:lpstr>
      <vt:lpstr>FType02to</vt:lpstr>
      <vt:lpstr>FType02to01</vt:lpstr>
      <vt:lpstr>FType02to02</vt:lpstr>
      <vt:lpstr>FType02to03</vt:lpstr>
      <vt:lpstr>FType02to04</vt:lpstr>
      <vt:lpstr>FType02to05</vt:lpstr>
      <vt:lpstr>FType02to06</vt:lpstr>
      <vt:lpstr>FType02to07</vt:lpstr>
      <vt:lpstr>FType02to08</vt:lpstr>
      <vt:lpstr>FType02to09</vt:lpstr>
      <vt:lpstr>FType02to10</vt:lpstr>
      <vt:lpstr>FType02to11</vt:lpstr>
      <vt:lpstr>FType02to12</vt:lpstr>
      <vt:lpstr>FType02to13</vt:lpstr>
      <vt:lpstr>FType02to14</vt:lpstr>
      <vt:lpstr>FType02to15</vt:lpstr>
      <vt:lpstr>FType02to16</vt:lpstr>
      <vt:lpstr>HDlibraryLMcode</vt:lpstr>
      <vt:lpstr>indirectCODTS3310</vt:lpstr>
      <vt:lpstr>indirectCODTS4300</vt:lpstr>
      <vt:lpstr>indirectDSframeArray</vt:lpstr>
      <vt:lpstr>indirectDSframeArray4500</vt:lpstr>
      <vt:lpstr>indirectDSframesList</vt:lpstr>
      <vt:lpstr>indirectDSframesList4500</vt:lpstr>
      <vt:lpstr>indirectio</vt:lpstr>
      <vt:lpstr>indirectio4500</vt:lpstr>
      <vt:lpstr>indirectio4500Frames</vt:lpstr>
      <vt:lpstr>indirectioDframeArray</vt:lpstr>
      <vt:lpstr>indirectioDframeArray4500</vt:lpstr>
      <vt:lpstr>indirectIOTS3310</vt:lpstr>
      <vt:lpstr>indirectIOTS4300</vt:lpstr>
      <vt:lpstr>indirectNmDrArray</vt:lpstr>
      <vt:lpstr>indirectNmDrArray4500</vt:lpstr>
      <vt:lpstr>indirectod</vt:lpstr>
      <vt:lpstr>indirectod4500</vt:lpstr>
      <vt:lpstr>indirectod4500Frames</vt:lpstr>
      <vt:lpstr>IOslotsBASEONLY</vt:lpstr>
      <vt:lpstr>IOslotsBASEwEXP</vt:lpstr>
      <vt:lpstr>IOslotsEXP</vt:lpstr>
      <vt:lpstr>IOStation</vt:lpstr>
      <vt:lpstr>LandDandAllHDframes4500</vt:lpstr>
      <vt:lpstr>LandDandAllHDframes4500select</vt:lpstr>
      <vt:lpstr>LandDandAllSframes4500</vt:lpstr>
      <vt:lpstr>LandDandAllSframes4500select</vt:lpstr>
      <vt:lpstr>LibraryLMcode4500</vt:lpstr>
      <vt:lpstr>LTODframes</vt:lpstr>
      <vt:lpstr>LTODframes4500</vt:lpstr>
      <vt:lpstr>LTOLframes</vt:lpstr>
      <vt:lpstr>LTOLFrames4500</vt:lpstr>
      <vt:lpstr>Lx5frameIO</vt:lpstr>
      <vt:lpstr>more2LFrames</vt:lpstr>
      <vt:lpstr>morexDFrames</vt:lpstr>
      <vt:lpstr>noDrive4500</vt:lpstr>
      <vt:lpstr>noLFrame</vt:lpstr>
      <vt:lpstr>NUM0</vt:lpstr>
      <vt:lpstr>NUM0OR3</vt:lpstr>
      <vt:lpstr>NUM0TO0</vt:lpstr>
      <vt:lpstr>NUM0TO1</vt:lpstr>
      <vt:lpstr>NUM0TO2</vt:lpstr>
      <vt:lpstr>NUM0TO3</vt:lpstr>
      <vt:lpstr>NUM0TO4</vt:lpstr>
      <vt:lpstr>NUM0TO6</vt:lpstr>
      <vt:lpstr>NUM1TO2</vt:lpstr>
      <vt:lpstr>NUM1TO3</vt:lpstr>
      <vt:lpstr>NumberDrives</vt:lpstr>
      <vt:lpstr>NumberDrives0</vt:lpstr>
      <vt:lpstr>NumberDrives04500</vt:lpstr>
      <vt:lpstr>NumberDrivesD4500</vt:lpstr>
      <vt:lpstr>NumberDrivesL4500</vt:lpstr>
      <vt:lpstr>NumberDrivesLHA4500</vt:lpstr>
      <vt:lpstr>NumberDrivesSVBA4500</vt:lpstr>
      <vt:lpstr>NumberDrivesSVBB4500</vt:lpstr>
      <vt:lpstr>NumberFrames</vt:lpstr>
      <vt:lpstr>NumberFrames4500</vt:lpstr>
      <vt:lpstr>NumberFrames4500limited</vt:lpstr>
      <vt:lpstr>NUMDR3310</vt:lpstr>
      <vt:lpstr>NUMDR3320</vt:lpstr>
      <vt:lpstr>NumFram4500</vt:lpstr>
      <vt:lpstr>NumToChar</vt:lpstr>
      <vt:lpstr>NumToChar4500</vt:lpstr>
      <vt:lpstr>OnDemand</vt:lpstr>
      <vt:lpstr>Sx4frameOD</vt:lpstr>
      <vt:lpstr>Sx5frameNOIO</vt:lpstr>
      <vt:lpstr>Sx5frameOD</vt:lpstr>
      <vt:lpstr>TotalCapacityComp</vt:lpstr>
      <vt:lpstr>TS4500FrameTypeAtPosition</vt:lpstr>
      <vt:lpstr>TS4500HA</vt:lpstr>
      <vt:lpstr>TS4500HAChoice</vt:lpstr>
      <vt:lpstr>TS4500LibraryLMcode</vt:lpstr>
      <vt:lpstr>TSD25BaseIO</vt:lpstr>
      <vt:lpstr>TSD25HDIO</vt:lpstr>
      <vt:lpstr>TSD25HDIOMixed</vt:lpstr>
      <vt:lpstr>TSD25ODM</vt:lpstr>
      <vt:lpstr>TSD55BaseIO</vt:lpstr>
      <vt:lpstr>TSD55HDIO</vt:lpstr>
      <vt:lpstr>TSD55HDIOMixed</vt:lpstr>
      <vt:lpstr>TSD55ODM</vt:lpstr>
      <vt:lpstr>TSDframeIOStation</vt:lpstr>
      <vt:lpstr>TSDframeIOStation4500</vt:lpstr>
      <vt:lpstr>TSDframeNOIO</vt:lpstr>
      <vt:lpstr>TSDframeNOIO4500</vt:lpstr>
      <vt:lpstr>TSL22EntryIO</vt:lpstr>
      <vt:lpstr>TSL22FullIO</vt:lpstr>
      <vt:lpstr>TSL22FullIOMixed</vt:lpstr>
      <vt:lpstr>TSL22IntermediateIO</vt:lpstr>
      <vt:lpstr>TSL22ODM</vt:lpstr>
      <vt:lpstr>TSL22ODS</vt:lpstr>
      <vt:lpstr>TSL23EntryIO</vt:lpstr>
      <vt:lpstr>TSL23FullIO</vt:lpstr>
      <vt:lpstr>TSL23FullIOMixed</vt:lpstr>
      <vt:lpstr>TSL23IntermediateIO</vt:lpstr>
      <vt:lpstr>TSL23ODM</vt:lpstr>
      <vt:lpstr>TSL23ODS</vt:lpstr>
      <vt:lpstr>TSL25BaseIO</vt:lpstr>
      <vt:lpstr>TSL25EntryIO</vt:lpstr>
      <vt:lpstr>TSL25HDIO</vt:lpstr>
      <vt:lpstr>TSL25HDIOMixed</vt:lpstr>
      <vt:lpstr>TSL25IntermediateIO</vt:lpstr>
      <vt:lpstr>TSL25ODM</vt:lpstr>
      <vt:lpstr>TSL25ODS</vt:lpstr>
      <vt:lpstr>TSL32Capacity_ExpansionIO</vt:lpstr>
      <vt:lpstr>TSL32Capacity_ExpansionIOMixed</vt:lpstr>
      <vt:lpstr>TSL32NO_Capacity_ExpansionIO</vt:lpstr>
      <vt:lpstr>TSL32ODM</vt:lpstr>
      <vt:lpstr>TSL32ODS</vt:lpstr>
      <vt:lpstr>TSL52EntryIO</vt:lpstr>
      <vt:lpstr>TSL52FullIO</vt:lpstr>
      <vt:lpstr>TSL52FullIOMixed</vt:lpstr>
      <vt:lpstr>TSL52IntermediateIO</vt:lpstr>
      <vt:lpstr>TSL52ODM</vt:lpstr>
      <vt:lpstr>TSL52ODS</vt:lpstr>
      <vt:lpstr>TSL53EntryIO</vt:lpstr>
      <vt:lpstr>TSL53FullIO</vt:lpstr>
      <vt:lpstr>TSL53FullIOMixed</vt:lpstr>
      <vt:lpstr>TSL53IntermediateIO</vt:lpstr>
      <vt:lpstr>TSL53ODM</vt:lpstr>
      <vt:lpstr>TSL53ODS</vt:lpstr>
      <vt:lpstr>TSL55BaseIO</vt:lpstr>
      <vt:lpstr>TSL55EntryIO</vt:lpstr>
      <vt:lpstr>TSL55HDIO</vt:lpstr>
      <vt:lpstr>TSL55HDIOMixed</vt:lpstr>
      <vt:lpstr>TSL55IntermediateIO</vt:lpstr>
      <vt:lpstr>TSL55ODM</vt:lpstr>
      <vt:lpstr>TSL55ODS</vt:lpstr>
      <vt:lpstr>TSS25BaseIO</vt:lpstr>
      <vt:lpstr>TSS25HDIO</vt:lpstr>
      <vt:lpstr>TSS25ODM</vt:lpstr>
      <vt:lpstr>TSS55BaseIO</vt:lpstr>
      <vt:lpstr>TSS55HDIO</vt:lpstr>
      <vt:lpstr>TSS55ODM</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IBM_USER</dc:creator>
  <cp:lastModifiedBy>Stefan Neff</cp:lastModifiedBy>
  <dcterms:created xsi:type="dcterms:W3CDTF">2004-10-18T18:05:12Z</dcterms:created>
  <dcterms:modified xsi:type="dcterms:W3CDTF">2024-05-24T11:36:34Z</dcterms:modified>
</cp:coreProperties>
</file>